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4"/>
  <workbookPr defaultThemeVersion="166925"/>
  <mc:AlternateContent xmlns:mc="http://schemas.openxmlformats.org/markup-compatibility/2006">
    <mc:Choice Requires="x15">
      <x15ac:absPath xmlns:x15ac="http://schemas.microsoft.com/office/spreadsheetml/2010/11/ac" url="K:\photo\Bud2022\Spreadsheets\state\"/>
    </mc:Choice>
  </mc:AlternateContent>
  <xr:revisionPtr revIDLastSave="0" documentId="13_ncr:1_{4456DE6B-7595-4D4E-8B9F-453A2BAE884F}" xr6:coauthVersionLast="36" xr6:coauthVersionMax="36" xr10:uidLastSave="{00000000-0000-0000-0000-000000000000}"/>
  <bookViews>
    <workbookView xWindow="0" yWindow="0" windowWidth="28800" windowHeight="12225" tabRatio="956" xr2:uid="{00000000-000D-0000-FFFF-FFFF00000000}"/>
  </bookViews>
  <sheets>
    <sheet name="Overview" sheetId="50" r:id="rId1"/>
    <sheet name="TOC" sheetId="1" r:id="rId2"/>
    <sheet name="Summary of Programs" sheetId="49" r:id="rId3"/>
    <sheet name="State Summary" sheetId="3" r:id="rId4"/>
    <sheet name="Table 11-5" sheetId="4" r:id="rId5"/>
    <sheet name="Table 11-6" sheetId="5" r:id="rId6"/>
    <sheet name="Table 11-7" sheetId="6" r:id="rId7"/>
    <sheet name="Table 11-8" sheetId="7" r:id="rId8"/>
    <sheet name="Table 11-9" sheetId="8" r:id="rId9"/>
    <sheet name="Table 11-10" sheetId="9" r:id="rId10"/>
    <sheet name="Table 11-11" sheetId="10" r:id="rId11"/>
    <sheet name="Table 11-12" sheetId="11" r:id="rId12"/>
    <sheet name="Table 11-13" sheetId="12" r:id="rId13"/>
    <sheet name="Table 11-14" sheetId="13" r:id="rId14"/>
    <sheet name="Table 11-15" sheetId="14" r:id="rId15"/>
    <sheet name="Table 11-16" sheetId="15" r:id="rId16"/>
    <sheet name="Table 11-17" sheetId="16" r:id="rId17"/>
    <sheet name="Table 11-18" sheetId="17" r:id="rId18"/>
    <sheet name="Table 11-19" sheetId="18" r:id="rId19"/>
    <sheet name="Table 11-20" sheetId="19" r:id="rId20"/>
    <sheet name="Table 11-21" sheetId="20" r:id="rId21"/>
    <sheet name="Table 11-22" sheetId="21" r:id="rId22"/>
    <sheet name="Table 11-23" sheetId="22" r:id="rId23"/>
    <sheet name="Table 11-24" sheetId="23" r:id="rId24"/>
    <sheet name="Table 11-25" sheetId="24" r:id="rId25"/>
    <sheet name="Table 11-26" sheetId="25" r:id="rId26"/>
    <sheet name="Table 11-27" sheetId="26" r:id="rId27"/>
    <sheet name="Table 11-28" sheetId="27" r:id="rId28"/>
    <sheet name="Table 11-29" sheetId="28" r:id="rId29"/>
    <sheet name="Table 11-30" sheetId="29" r:id="rId30"/>
    <sheet name="Table 11-31" sheetId="30" r:id="rId31"/>
    <sheet name="Table 11-32" sheetId="31" r:id="rId32"/>
    <sheet name="Table 11-33" sheetId="32" r:id="rId33"/>
    <sheet name="Table 11-34" sheetId="33" r:id="rId34"/>
    <sheet name="Table 11-35" sheetId="34" r:id="rId35"/>
    <sheet name="Table 11-36" sheetId="35" r:id="rId36"/>
    <sheet name="Table 11-37" sheetId="36" r:id="rId37"/>
    <sheet name="Table 11-38" sheetId="37" r:id="rId38"/>
    <sheet name="Table 11-39" sheetId="38" r:id="rId39"/>
    <sheet name="Table 11-40" sheetId="39" r:id="rId40"/>
    <sheet name="Table 11-41" sheetId="40" r:id="rId41"/>
    <sheet name="Table 11-42" sheetId="41" r:id="rId42"/>
    <sheet name="Table 11-43" sheetId="42" r:id="rId43"/>
    <sheet name="Table 11-44" sheetId="43" r:id="rId44"/>
    <sheet name="Table 11-45" sheetId="44" r:id="rId45"/>
    <sheet name="Table 11-46" sheetId="45" r:id="rId46"/>
    <sheet name="Table 11-47" sheetId="46" r:id="rId47"/>
    <sheet name="Table 11-48" sheetId="47" r:id="rId48"/>
    <sheet name="Table 11-49" sheetId="48" r:id="rId49"/>
  </sheets>
  <calcPr calcId="191029"/>
</workbook>
</file>

<file path=xl/calcChain.xml><?xml version="1.0" encoding="utf-8"?>
<calcChain xmlns="http://schemas.openxmlformats.org/spreadsheetml/2006/main">
  <c r="I66" i="3" l="1"/>
  <c r="G66" i="3"/>
  <c r="E66" i="3"/>
  <c r="F66" i="3" s="1"/>
  <c r="D66" i="3"/>
  <c r="C66" i="3"/>
  <c r="B66" i="3"/>
  <c r="I63" i="3"/>
  <c r="G63" i="3"/>
  <c r="E63" i="3"/>
  <c r="F63" i="3" s="1"/>
  <c r="D63" i="3"/>
  <c r="C63" i="3"/>
  <c r="B63" i="3"/>
  <c r="I62" i="3"/>
  <c r="G62" i="3"/>
  <c r="E62" i="3"/>
  <c r="F62" i="3" s="1"/>
  <c r="D62" i="3"/>
  <c r="C62" i="3"/>
  <c r="B62" i="3"/>
  <c r="I61" i="3"/>
  <c r="G61" i="3"/>
  <c r="E61" i="3"/>
  <c r="F61" i="3" s="1"/>
  <c r="D61" i="3"/>
  <c r="C61" i="3"/>
  <c r="B61" i="3"/>
  <c r="I60" i="3"/>
  <c r="G60" i="3"/>
  <c r="E60" i="3"/>
  <c r="F60" i="3" s="1"/>
  <c r="D60" i="3"/>
  <c r="C60" i="3"/>
  <c r="B60" i="3"/>
  <c r="I59" i="3"/>
  <c r="G59" i="3"/>
  <c r="E59" i="3"/>
  <c r="F59" i="3" s="1"/>
  <c r="D59" i="3"/>
  <c r="C59" i="3"/>
  <c r="B59" i="3"/>
  <c r="I58" i="3"/>
  <c r="G58" i="3"/>
  <c r="E58" i="3"/>
  <c r="F58" i="3" s="1"/>
  <c r="D58" i="3"/>
  <c r="C58" i="3"/>
  <c r="B58" i="3"/>
  <c r="I57" i="3"/>
  <c r="G57" i="3"/>
  <c r="E57" i="3"/>
  <c r="F57" i="3" s="1"/>
  <c r="D57" i="3"/>
  <c r="C57" i="3"/>
  <c r="B57" i="3"/>
  <c r="I56" i="3"/>
  <c r="G56" i="3"/>
  <c r="E56" i="3"/>
  <c r="D56" i="3"/>
  <c r="F56" i="3" s="1"/>
  <c r="C56" i="3"/>
  <c r="B56" i="3"/>
  <c r="I55" i="3"/>
  <c r="G55" i="3"/>
  <c r="E55" i="3"/>
  <c r="D55" i="3"/>
  <c r="F55" i="3" s="1"/>
  <c r="C55" i="3"/>
  <c r="B55" i="3"/>
  <c r="I54" i="3"/>
  <c r="G54" i="3"/>
  <c r="E54" i="3"/>
  <c r="D54" i="3"/>
  <c r="C54" i="3"/>
  <c r="F54" i="3" s="1"/>
  <c r="B54" i="3"/>
  <c r="I53" i="3"/>
  <c r="G53" i="3"/>
  <c r="E53" i="3"/>
  <c r="D53" i="3"/>
  <c r="C53" i="3"/>
  <c r="F53" i="3" s="1"/>
  <c r="B53" i="3"/>
  <c r="I52" i="3"/>
  <c r="G52" i="3"/>
  <c r="E52" i="3"/>
  <c r="D52" i="3"/>
  <c r="C52" i="3"/>
  <c r="F52" i="3" s="1"/>
  <c r="B52" i="3"/>
  <c r="I51" i="3"/>
  <c r="G51" i="3"/>
  <c r="E51" i="3"/>
  <c r="D51" i="3"/>
  <c r="C51" i="3"/>
  <c r="F51" i="3" s="1"/>
  <c r="B51" i="3"/>
  <c r="I50" i="3"/>
  <c r="G50" i="3"/>
  <c r="E50" i="3"/>
  <c r="D50" i="3"/>
  <c r="C50" i="3"/>
  <c r="F50" i="3" s="1"/>
  <c r="B50" i="3"/>
  <c r="I49" i="3"/>
  <c r="G49" i="3"/>
  <c r="E49" i="3"/>
  <c r="D49" i="3"/>
  <c r="C49" i="3"/>
  <c r="F49" i="3" s="1"/>
  <c r="B49" i="3"/>
  <c r="I48" i="3"/>
  <c r="G48" i="3"/>
  <c r="E48" i="3"/>
  <c r="D48" i="3"/>
  <c r="C48" i="3"/>
  <c r="F48" i="3" s="1"/>
  <c r="B48" i="3"/>
  <c r="I47" i="3"/>
  <c r="G47" i="3"/>
  <c r="E47" i="3"/>
  <c r="D47" i="3"/>
  <c r="C47" i="3"/>
  <c r="F47" i="3" s="1"/>
  <c r="B47" i="3"/>
  <c r="I46" i="3"/>
  <c r="G46" i="3"/>
  <c r="E46" i="3"/>
  <c r="D46" i="3"/>
  <c r="C46" i="3"/>
  <c r="F46" i="3" s="1"/>
  <c r="B46" i="3"/>
  <c r="I45" i="3"/>
  <c r="G45" i="3"/>
  <c r="E45" i="3"/>
  <c r="D45" i="3"/>
  <c r="C45" i="3"/>
  <c r="F45" i="3" s="1"/>
  <c r="B45" i="3"/>
  <c r="I44" i="3"/>
  <c r="G44" i="3"/>
  <c r="E44" i="3"/>
  <c r="D44" i="3"/>
  <c r="C44" i="3"/>
  <c r="F44" i="3" s="1"/>
  <c r="B44" i="3"/>
  <c r="I43" i="3"/>
  <c r="G43" i="3"/>
  <c r="E43" i="3"/>
  <c r="D43" i="3"/>
  <c r="C43" i="3"/>
  <c r="F43" i="3" s="1"/>
  <c r="B43" i="3"/>
  <c r="I42" i="3"/>
  <c r="G42" i="3"/>
  <c r="E42" i="3"/>
  <c r="D42" i="3"/>
  <c r="C42" i="3"/>
  <c r="F42" i="3" s="1"/>
  <c r="B42" i="3"/>
  <c r="I41" i="3"/>
  <c r="G41" i="3"/>
  <c r="E41" i="3"/>
  <c r="D41" i="3"/>
  <c r="C41" i="3"/>
  <c r="F41" i="3" s="1"/>
  <c r="B41" i="3"/>
  <c r="I40" i="3"/>
  <c r="G40" i="3"/>
  <c r="E40" i="3"/>
  <c r="D40" i="3"/>
  <c r="C40" i="3"/>
  <c r="F40" i="3" s="1"/>
  <c r="B40" i="3"/>
  <c r="I39" i="3"/>
  <c r="G39" i="3"/>
  <c r="E39" i="3"/>
  <c r="D39" i="3"/>
  <c r="C39" i="3"/>
  <c r="F39" i="3" s="1"/>
  <c r="B39" i="3"/>
  <c r="I38" i="3"/>
  <c r="G38" i="3"/>
  <c r="E38" i="3"/>
  <c r="D38" i="3"/>
  <c r="C38" i="3"/>
  <c r="F38" i="3" s="1"/>
  <c r="B38" i="3"/>
  <c r="I37" i="3"/>
  <c r="G37" i="3"/>
  <c r="E37" i="3"/>
  <c r="D37" i="3"/>
  <c r="C37" i="3"/>
  <c r="F37" i="3" s="1"/>
  <c r="B37" i="3"/>
  <c r="I36" i="3"/>
  <c r="G36" i="3"/>
  <c r="E36" i="3"/>
  <c r="D36" i="3"/>
  <c r="C36" i="3"/>
  <c r="F36" i="3" s="1"/>
  <c r="B36" i="3"/>
  <c r="I35" i="3"/>
  <c r="G35" i="3"/>
  <c r="E35" i="3"/>
  <c r="D35" i="3"/>
  <c r="C35" i="3"/>
  <c r="F35" i="3" s="1"/>
  <c r="B35" i="3"/>
  <c r="I34" i="3"/>
  <c r="G34" i="3"/>
  <c r="E34" i="3"/>
  <c r="D34" i="3"/>
  <c r="C34" i="3"/>
  <c r="F34" i="3" s="1"/>
  <c r="B34" i="3"/>
  <c r="I33" i="3"/>
  <c r="G33" i="3"/>
  <c r="E33" i="3"/>
  <c r="D33" i="3"/>
  <c r="C33" i="3"/>
  <c r="F33" i="3" s="1"/>
  <c r="B33" i="3"/>
  <c r="I32" i="3"/>
  <c r="G32" i="3"/>
  <c r="E32" i="3"/>
  <c r="D32" i="3"/>
  <c r="C32" i="3"/>
  <c r="F32" i="3" s="1"/>
  <c r="B32" i="3"/>
  <c r="I31" i="3"/>
  <c r="G31" i="3"/>
  <c r="E31" i="3"/>
  <c r="D31" i="3"/>
  <c r="C31" i="3"/>
  <c r="F31" i="3" s="1"/>
  <c r="B31" i="3"/>
  <c r="I30" i="3"/>
  <c r="G30" i="3"/>
  <c r="E30" i="3"/>
  <c r="D30" i="3"/>
  <c r="C30" i="3"/>
  <c r="F30" i="3" s="1"/>
  <c r="B30" i="3"/>
  <c r="I29" i="3"/>
  <c r="G29" i="3"/>
  <c r="E29" i="3"/>
  <c r="D29" i="3"/>
  <c r="C29" i="3"/>
  <c r="F29" i="3" s="1"/>
  <c r="B29" i="3"/>
  <c r="I28" i="3"/>
  <c r="G28" i="3"/>
  <c r="E28" i="3"/>
  <c r="D28" i="3"/>
  <c r="C28" i="3"/>
  <c r="F28" i="3" s="1"/>
  <c r="B28" i="3"/>
  <c r="I27" i="3"/>
  <c r="G27" i="3"/>
  <c r="E27" i="3"/>
  <c r="D27" i="3"/>
  <c r="C27" i="3"/>
  <c r="F27" i="3" s="1"/>
  <c r="B27" i="3"/>
  <c r="I26" i="3"/>
  <c r="G26" i="3"/>
  <c r="E26" i="3"/>
  <c r="D26" i="3"/>
  <c r="C26" i="3"/>
  <c r="F26" i="3" s="1"/>
  <c r="B26" i="3"/>
  <c r="I25" i="3"/>
  <c r="G25" i="3"/>
  <c r="E25" i="3"/>
  <c r="D25" i="3"/>
  <c r="C25" i="3"/>
  <c r="F25" i="3" s="1"/>
  <c r="B25" i="3"/>
  <c r="I24" i="3"/>
  <c r="G24" i="3"/>
  <c r="E24" i="3"/>
  <c r="D24" i="3"/>
  <c r="C24" i="3"/>
  <c r="F24" i="3" s="1"/>
  <c r="B24" i="3"/>
  <c r="I23" i="3"/>
  <c r="G23" i="3"/>
  <c r="E23" i="3"/>
  <c r="D23" i="3"/>
  <c r="C23" i="3"/>
  <c r="F23" i="3" s="1"/>
  <c r="B23" i="3"/>
  <c r="I22" i="3"/>
  <c r="G22" i="3"/>
  <c r="E22" i="3"/>
  <c r="D22" i="3"/>
  <c r="C22" i="3"/>
  <c r="F22" i="3" s="1"/>
  <c r="B22" i="3"/>
  <c r="I21" i="3"/>
  <c r="G21" i="3"/>
  <c r="E21" i="3"/>
  <c r="D21" i="3"/>
  <c r="C21" i="3"/>
  <c r="F21" i="3" s="1"/>
  <c r="B21" i="3"/>
  <c r="I20" i="3"/>
  <c r="G20" i="3"/>
  <c r="E20" i="3"/>
  <c r="D20" i="3"/>
  <c r="C20" i="3"/>
  <c r="F20" i="3" s="1"/>
  <c r="B20" i="3"/>
  <c r="I19" i="3"/>
  <c r="G19" i="3"/>
  <c r="E19" i="3"/>
  <c r="D19" i="3"/>
  <c r="C19" i="3"/>
  <c r="F19" i="3" s="1"/>
  <c r="B19" i="3"/>
  <c r="I18" i="3"/>
  <c r="G18" i="3"/>
  <c r="E18" i="3"/>
  <c r="D18" i="3"/>
  <c r="C18" i="3"/>
  <c r="F18" i="3" s="1"/>
  <c r="B18" i="3"/>
  <c r="I17" i="3"/>
  <c r="G17" i="3"/>
  <c r="E17" i="3"/>
  <c r="D17" i="3"/>
  <c r="C17" i="3"/>
  <c r="F17" i="3" s="1"/>
  <c r="B17" i="3"/>
  <c r="I16" i="3"/>
  <c r="G16" i="3"/>
  <c r="E16" i="3"/>
  <c r="D16" i="3"/>
  <c r="C16" i="3"/>
  <c r="F16" i="3" s="1"/>
  <c r="B16" i="3"/>
  <c r="I15" i="3"/>
  <c r="G15" i="3"/>
  <c r="E15" i="3"/>
  <c r="D15" i="3"/>
  <c r="C15" i="3"/>
  <c r="F15" i="3" s="1"/>
  <c r="B15" i="3"/>
  <c r="I14" i="3"/>
  <c r="G14" i="3"/>
  <c r="E14" i="3"/>
  <c r="D14" i="3"/>
  <c r="C14" i="3"/>
  <c r="F14" i="3" s="1"/>
  <c r="B14" i="3"/>
  <c r="I13" i="3"/>
  <c r="G13" i="3"/>
  <c r="E13" i="3"/>
  <c r="D13" i="3"/>
  <c r="C13" i="3"/>
  <c r="F13" i="3" s="1"/>
  <c r="B13" i="3"/>
  <c r="I12" i="3"/>
  <c r="G12" i="3"/>
  <c r="E12" i="3"/>
  <c r="D12" i="3"/>
  <c r="C12" i="3"/>
  <c r="F12" i="3" s="1"/>
  <c r="B12" i="3"/>
  <c r="I11" i="3"/>
  <c r="G11" i="3"/>
  <c r="E11" i="3"/>
  <c r="D11" i="3"/>
  <c r="C11" i="3"/>
  <c r="F11" i="3" s="1"/>
  <c r="B11" i="3"/>
  <c r="I10" i="3"/>
  <c r="G10" i="3"/>
  <c r="E10" i="3"/>
  <c r="D10" i="3"/>
  <c r="C10" i="3"/>
  <c r="F10" i="3" s="1"/>
  <c r="B10" i="3"/>
  <c r="I9" i="3"/>
  <c r="G9" i="3"/>
  <c r="E9" i="3"/>
  <c r="D9" i="3"/>
  <c r="C9" i="3"/>
  <c r="F9" i="3" s="1"/>
  <c r="B9" i="3"/>
  <c r="I8" i="3"/>
  <c r="G8" i="3"/>
  <c r="E8" i="3"/>
  <c r="D8" i="3"/>
  <c r="C8" i="3"/>
  <c r="F8" i="3" s="1"/>
  <c r="B8" i="3"/>
  <c r="I7" i="3"/>
  <c r="G7" i="3"/>
  <c r="E7" i="3"/>
  <c r="D7" i="3"/>
  <c r="C7" i="3"/>
  <c r="F7" i="3" s="1"/>
  <c r="B7" i="3"/>
  <c r="I6" i="3"/>
  <c r="I67" i="3" s="1"/>
  <c r="G6" i="3"/>
  <c r="E6" i="3"/>
  <c r="E67" i="3" s="1"/>
  <c r="D6" i="3"/>
  <c r="D67" i="3" s="1"/>
  <c r="C6" i="3"/>
  <c r="F6" i="3" s="1"/>
  <c r="B6" i="3"/>
  <c r="B67" i="3" s="1"/>
  <c r="F67" i="3" l="1"/>
  <c r="G67" i="3"/>
  <c r="H63" i="3"/>
  <c r="H62" i="3"/>
  <c r="H61" i="3"/>
  <c r="H60" i="3"/>
  <c r="H59" i="3"/>
  <c r="H58" i="3"/>
  <c r="H57" i="3"/>
  <c r="H56" i="3"/>
  <c r="H55" i="3"/>
  <c r="H54" i="3"/>
  <c r="H53" i="3"/>
  <c r="H52" i="3"/>
  <c r="H51" i="3"/>
  <c r="H50" i="3"/>
  <c r="H49" i="3"/>
  <c r="H48" i="3"/>
  <c r="H47" i="3"/>
  <c r="H46" i="3"/>
  <c r="H45" i="3"/>
  <c r="H44" i="3"/>
  <c r="H43" i="3"/>
  <c r="H42" i="3"/>
  <c r="H41" i="3"/>
  <c r="H40" i="3"/>
  <c r="H39" i="3"/>
  <c r="H38" i="3"/>
  <c r="H37" i="3"/>
  <c r="H36" i="3"/>
  <c r="H35" i="3"/>
  <c r="H34" i="3"/>
  <c r="H33" i="3"/>
  <c r="H32" i="3"/>
  <c r="H31" i="3"/>
  <c r="H30" i="3"/>
  <c r="H29" i="3"/>
  <c r="H28" i="3"/>
  <c r="H27" i="3"/>
  <c r="H26" i="3"/>
  <c r="H25" i="3"/>
  <c r="H24" i="3"/>
  <c r="H23" i="3"/>
  <c r="H22" i="3"/>
  <c r="H21" i="3"/>
  <c r="H20" i="3"/>
  <c r="H19" i="3"/>
  <c r="H18" i="3"/>
  <c r="H17" i="3"/>
  <c r="H16" i="3"/>
  <c r="H15" i="3"/>
  <c r="H14" i="3"/>
  <c r="H13" i="3"/>
  <c r="H12" i="3"/>
  <c r="H11" i="3"/>
  <c r="H10" i="3"/>
  <c r="H9" i="3"/>
  <c r="H8" i="3"/>
  <c r="H7" i="3"/>
  <c r="H6" i="3"/>
  <c r="C67" i="3"/>
  <c r="E65" i="33" l="1"/>
  <c r="D65" i="33"/>
</calcChain>
</file>

<file path=xl/sharedStrings.xml><?xml version="1.0" encoding="utf-8"?>
<sst xmlns="http://schemas.openxmlformats.org/spreadsheetml/2006/main" count="4837" uniqueCount="687">
  <si>
    <t>2022 Budget State-by-State Tables</t>
  </si>
  <si>
    <t>Table of Contents</t>
  </si>
  <si>
    <t>Table Number</t>
  </si>
  <si>
    <t>Agency and Bureau</t>
  </si>
  <si>
    <t>Program Name</t>
  </si>
  <si>
    <t>CFDA Number</t>
  </si>
  <si>
    <t>11-3</t>
  </si>
  <si>
    <t>Summary of Programs by Agency, Bureau, and Program</t>
  </si>
  <si>
    <t>11-4</t>
  </si>
  <si>
    <t>Summary of Programs by State</t>
  </si>
  <si>
    <t>11-5</t>
  </si>
  <si>
    <t>School Breakfast Program</t>
  </si>
  <si>
    <t>11-6</t>
  </si>
  <si>
    <t>National School Lunch Program</t>
  </si>
  <si>
    <t>11-7</t>
  </si>
  <si>
    <t>Special Supplemental Nutrition Program for Women, Infants, and Children</t>
  </si>
  <si>
    <t>11-8</t>
  </si>
  <si>
    <t>Child and Adult Care Food Program</t>
  </si>
  <si>
    <t>11-9</t>
  </si>
  <si>
    <t>State Administrative Matching Grants for the Supplemental Nutrition Assistance Program (Food Stamps)</t>
  </si>
  <si>
    <t>11-10</t>
  </si>
  <si>
    <t>Department of Education,
Office of Special Education and Rehabilitative Services</t>
  </si>
  <si>
    <t>Vocational Rehabilitation State Grants</t>
  </si>
  <si>
    <t>91-0301-0-1-501</t>
  </si>
  <si>
    <t>11-11</t>
  </si>
  <si>
    <t>Special Education-Grants to States</t>
  </si>
  <si>
    <t>91-0300-0-1-501</t>
  </si>
  <si>
    <t>11-12</t>
  </si>
  <si>
    <t>Department of Education,
Office of Elementary and Secondary Education</t>
  </si>
  <si>
    <t>Title I Grants to Local Educational Agencies</t>
  </si>
  <si>
    <t>11-13</t>
  </si>
  <si>
    <t>Supporting Effective Instruction State Grants</t>
  </si>
  <si>
    <t>11-14</t>
  </si>
  <si>
    <t>Elementary and Secondary School Emergency Relief Fund</t>
  </si>
  <si>
    <t>91-0251-0-1-501</t>
  </si>
  <si>
    <t>11-15</t>
  </si>
  <si>
    <t>Governor's Emergency Education Relief Fund</t>
  </si>
  <si>
    <t>11-16</t>
  </si>
  <si>
    <t>Emergency Assistance to Non-Public Schools</t>
  </si>
  <si>
    <t>11-17</t>
  </si>
  <si>
    <t>Department of Health and Human Services,
Centers for Medicare and Medicaid Services</t>
  </si>
  <si>
    <t>Children's Health Insurance Program</t>
  </si>
  <si>
    <t>93.767</t>
  </si>
  <si>
    <t>11-18</t>
  </si>
  <si>
    <t xml:space="preserve">Grants to States for Medicaid </t>
  </si>
  <si>
    <t>11-19</t>
  </si>
  <si>
    <t>Department of Health and Human Services,
Administration for Children and Families</t>
  </si>
  <si>
    <t>Temporary Assistance for Needy Families (TANF) - Family Assistance Grants</t>
  </si>
  <si>
    <t>11-20</t>
  </si>
  <si>
    <t>Child Support Enforcement - Federal Share of State and Local Administrative Costs and Incentives</t>
  </si>
  <si>
    <t>11-21</t>
  </si>
  <si>
    <t>Low Income Home Energy Assistance Program</t>
  </si>
  <si>
    <t>11-22</t>
  </si>
  <si>
    <t xml:space="preserve"> Child Care and Development Block Grant </t>
  </si>
  <si>
    <t>11-23</t>
  </si>
  <si>
    <t>Child Care and Development Fund - Mandatory</t>
  </si>
  <si>
    <t>93.596a</t>
  </si>
  <si>
    <t>11-24</t>
  </si>
  <si>
    <t>Child Care and Development Fund - Matching</t>
  </si>
  <si>
    <t>93.596b</t>
  </si>
  <si>
    <t>11-25</t>
  </si>
  <si>
    <t>Head Start</t>
  </si>
  <si>
    <t>93.600</t>
  </si>
  <si>
    <t>11-26</t>
  </si>
  <si>
    <t xml:space="preserve">Foster Care - Title IV-E </t>
  </si>
  <si>
    <t>11-27</t>
  </si>
  <si>
    <t>Adoption Assistance</t>
  </si>
  <si>
    <t>11-28</t>
  </si>
  <si>
    <t>Social Services Block Grant</t>
  </si>
  <si>
    <t>11-29</t>
  </si>
  <si>
    <t>Department of Health and Human Services,
Health Resources and Services Administration</t>
  </si>
  <si>
    <t>Ryan White HIV/AIDS Treatment Modernization Act - Part B HIV Care Grants</t>
  </si>
  <si>
    <t>93.917</t>
  </si>
  <si>
    <t>11-30</t>
  </si>
  <si>
    <t>Department of Health and Human Services,
Substance Abuse and Mental Health Services Administration</t>
  </si>
  <si>
    <t>State Opioid Response</t>
  </si>
  <si>
    <t>93.788</t>
  </si>
  <si>
    <t>11-31</t>
  </si>
  <si>
    <t>Substance Abuse Prevention and Treatment</t>
  </si>
  <si>
    <t>93.959</t>
  </si>
  <si>
    <t>11-32</t>
  </si>
  <si>
    <t>Department of Homeland Security,
Federal Emergency Management Agency</t>
  </si>
  <si>
    <t>Preparedness Grants</t>
  </si>
  <si>
    <t>97.067 et al</t>
  </si>
  <si>
    <t>11-33</t>
  </si>
  <si>
    <t>Department of Housing and Urban Development,
Community Planning and Development</t>
  </si>
  <si>
    <t>Community Development Block Grant</t>
  </si>
  <si>
    <t>14.218; 14.225; 14.228; 14.862</t>
  </si>
  <si>
    <t>11-34</t>
  </si>
  <si>
    <t>Community Development Block Grant - Disaster Recovery</t>
  </si>
  <si>
    <t>14.218; 14.228; 14.269</t>
  </si>
  <si>
    <t>11-35</t>
  </si>
  <si>
    <t>HOME Investment Partnerships Program</t>
  </si>
  <si>
    <t>11-36</t>
  </si>
  <si>
    <t>Community Development Block Grant - CV</t>
  </si>
  <si>
    <t>11-37</t>
  </si>
  <si>
    <t>Department of Housing and Urban Development,
Public and Indian Housing Programs</t>
  </si>
  <si>
    <t>Section 8 Housing Choice Vouchers</t>
  </si>
  <si>
    <t>11-38</t>
  </si>
  <si>
    <t>Public Housing Operating Fund</t>
  </si>
  <si>
    <t>14.850</t>
  </si>
  <si>
    <t>11-39</t>
  </si>
  <si>
    <t>Public Housing Capital Fund</t>
  </si>
  <si>
    <t>11-40</t>
  </si>
  <si>
    <t>Public Housing Fund</t>
  </si>
  <si>
    <t>11-41</t>
  </si>
  <si>
    <t>Department of Labor,
Employment and Training Administration</t>
  </si>
  <si>
    <t>Unemployment Insurance</t>
  </si>
  <si>
    <t>17.225</t>
  </si>
  <si>
    <t>11-42</t>
  </si>
  <si>
    <t>Department of Transportation,
Federal Aviation Administration</t>
  </si>
  <si>
    <t>Grants-in-aid for Airports</t>
  </si>
  <si>
    <t>20.106</t>
  </si>
  <si>
    <t>11-43</t>
  </si>
  <si>
    <t>Department of Transportation,
Federal Highway Administration</t>
  </si>
  <si>
    <t>Highway Planning and Construction</t>
  </si>
  <si>
    <t>11-44</t>
  </si>
  <si>
    <t>Department of Transportation,
Federal Transit Administration</t>
  </si>
  <si>
    <t>Transit Infrastructure Grants</t>
  </si>
  <si>
    <t>TBD</t>
  </si>
  <si>
    <t>11-45</t>
  </si>
  <si>
    <t xml:space="preserve">Federal Transit Formula Grants Program </t>
  </si>
  <si>
    <t>20.507</t>
  </si>
  <si>
    <t>11-46</t>
  </si>
  <si>
    <t>Capitalization Grant for Clean Water State Revolving Funds</t>
  </si>
  <si>
    <t>66.458</t>
  </si>
  <si>
    <t>11-47</t>
  </si>
  <si>
    <t>Capitalization Grant for Drinking Water State Revolving Fund</t>
  </si>
  <si>
    <t>66.468</t>
  </si>
  <si>
    <t>11-48</t>
  </si>
  <si>
    <t>Federal Communications Commission</t>
  </si>
  <si>
    <t>Universal Service Fund E-Rate</t>
  </si>
  <si>
    <t>11-49</t>
  </si>
  <si>
    <t>Emergency Connectivity Fund for Education Connections and Devices</t>
  </si>
  <si>
    <t>Department of Agriculture, Food and Nutrituion Service</t>
  </si>
  <si>
    <t>12-3539-0-1-605</t>
  </si>
  <si>
    <t>(Obligations in thousands of dollars)</t>
  </si>
  <si>
    <t>State or Territory</t>
  </si>
  <si>
    <t>FY 2020 Actual</t>
  </si>
  <si>
    <t>Estimated FY 2021 obligations from:</t>
  </si>
  <si>
    <t>FY 2021 Total (estimated)</t>
  </si>
  <si>
    <t>FY 2022 (estimated) Obligation</t>
  </si>
  <si>
    <t>Previous authority</t>
  </si>
  <si>
    <t>New Authority</t>
  </si>
  <si>
    <t>ARP Obligation Authority</t>
  </si>
  <si>
    <t>Alabama</t>
  </si>
  <si>
    <t>Alaska</t>
  </si>
  <si>
    <t>Arizona</t>
  </si>
  <si>
    <t>Arkansas</t>
  </si>
  <si>
    <t>California</t>
  </si>
  <si>
    <t>Colorado</t>
  </si>
  <si>
    <t>Connecticut</t>
  </si>
  <si>
    <t>Delaware</t>
  </si>
  <si>
    <t>District of Columbia</t>
  </si>
  <si>
    <t>Florida</t>
  </si>
  <si>
    <t>Georgia</t>
  </si>
  <si>
    <t>Hawaii</t>
  </si>
  <si>
    <t>Idaho</t>
  </si>
  <si>
    <t>Illinois</t>
  </si>
  <si>
    <t>Indiana</t>
  </si>
  <si>
    <t>Iowa</t>
  </si>
  <si>
    <t>Kansas</t>
  </si>
  <si>
    <t>Kentucky</t>
  </si>
  <si>
    <t>Louisiana</t>
  </si>
  <si>
    <t>Maine</t>
  </si>
  <si>
    <t>Maryland</t>
  </si>
  <si>
    <t>Massachusetts</t>
  </si>
  <si>
    <t>Michigan</t>
  </si>
  <si>
    <t>Minnesota</t>
  </si>
  <si>
    <t>Mississippi</t>
  </si>
  <si>
    <t>Missouri</t>
  </si>
  <si>
    <t>Montana</t>
  </si>
  <si>
    <t>Nebraska</t>
  </si>
  <si>
    <t>Nevada</t>
  </si>
  <si>
    <t>New Hampshire</t>
  </si>
  <si>
    <t>New Jersey</t>
  </si>
  <si>
    <t>New Mexico</t>
  </si>
  <si>
    <t>New York</t>
  </si>
  <si>
    <t>North Carolina</t>
  </si>
  <si>
    <t>North Dakota</t>
  </si>
  <si>
    <t>Ohio</t>
  </si>
  <si>
    <t>Oklahoma</t>
  </si>
  <si>
    <t>Oregon</t>
  </si>
  <si>
    <t>Pennsylvania</t>
  </si>
  <si>
    <t>Rhode Island</t>
  </si>
  <si>
    <t>South Carolina</t>
  </si>
  <si>
    <t>South Dakota</t>
  </si>
  <si>
    <t>Tennessee</t>
  </si>
  <si>
    <t>Texas</t>
  </si>
  <si>
    <t>Utah</t>
  </si>
  <si>
    <t>Vermont</t>
  </si>
  <si>
    <t>Virginia</t>
  </si>
  <si>
    <t>Washington</t>
  </si>
  <si>
    <t>West Virginia</t>
  </si>
  <si>
    <t>Wisconsin</t>
  </si>
  <si>
    <t>Wyoming</t>
  </si>
  <si>
    <t>American Samoa</t>
  </si>
  <si>
    <t>Guam</t>
  </si>
  <si>
    <t>Northern Mariana Islands</t>
  </si>
  <si>
    <t>Puerto Rico</t>
  </si>
  <si>
    <t>Freely Associated States</t>
  </si>
  <si>
    <t>Virgin Islands</t>
  </si>
  <si>
    <t>Indian Tribes</t>
  </si>
  <si>
    <t>Undistributed</t>
  </si>
  <si>
    <t>Total</t>
  </si>
  <si>
    <t>* $500 or less or 0.005 percent or less.</t>
  </si>
  <si>
    <t>12-3510-0-1-605</t>
  </si>
  <si>
    <t>12-3505-0-1-605</t>
  </si>
  <si>
    <t>Department of Education, Office of Special Education and Rehabilitative Services</t>
  </si>
  <si>
    <t>Department of Education, Office of Elementary and Secondary Education</t>
  </si>
  <si>
    <t>91-0900-0-1-501</t>
  </si>
  <si>
    <r>
      <t>1</t>
    </r>
    <r>
      <rPr>
        <sz val="10"/>
        <rFont val="Arial Narrow"/>
        <family val="2"/>
      </rPr>
      <t xml:space="preserve"> The fiscal year 2022 estimate does not include the $20 billion proposed for Title I Equity Grants.</t>
    </r>
  </si>
  <si>
    <t>91-1000-01-1-501</t>
  </si>
  <si>
    <t>Department of Health and Human Services, Centers for Medicare and Medicaid Services</t>
  </si>
  <si>
    <t>75-0515-0-1-551</t>
  </si>
  <si>
    <r>
      <t>1</t>
    </r>
    <r>
      <rPr>
        <sz val="10"/>
        <rFont val="Arial Narrow"/>
        <family val="2"/>
      </rPr>
      <t xml:space="preserve"> Technical adjustment based on CMS data. More updated obligations information is available in the CMS Congressional Justification.</t>
    </r>
  </si>
  <si>
    <r>
      <t>2</t>
    </r>
    <r>
      <rPr>
        <sz val="10"/>
        <rFont val="Arial Narrow"/>
        <family val="2"/>
      </rPr>
      <t xml:space="preserve"> Technical adjustment based on CMS data. More updated obligations information is available in the CMS Congressional Justification.</t>
    </r>
  </si>
  <si>
    <t>75-0512-0-1-551</t>
  </si>
  <si>
    <t>Department of Health and Human Services, Administration for Children and Families</t>
  </si>
  <si>
    <t>75-1552-0-1-609</t>
  </si>
  <si>
    <t>75-1501-0-1-609</t>
  </si>
  <si>
    <t>75-1502-0-1-609</t>
  </si>
  <si>
    <t>75-1515-0-1-609</t>
  </si>
  <si>
    <t>75-1550-0-1-609</t>
  </si>
  <si>
    <t>75-1536-0-1-609</t>
  </si>
  <si>
    <t>75-1545-0-1-609</t>
  </si>
  <si>
    <t>75-1534-0-1-609</t>
  </si>
  <si>
    <t>Department of Health and Human Services, Health Resources and Services Administration</t>
  </si>
  <si>
    <t>75-0350-0-1-550</t>
  </si>
  <si>
    <r>
      <t xml:space="preserve">1 </t>
    </r>
    <r>
      <rPr>
        <sz val="10"/>
        <rFont val="Arial Narrow"/>
        <family val="2"/>
      </rPr>
      <t xml:space="preserve"> FY 2021 data for each state and territory is not available. </t>
    </r>
  </si>
  <si>
    <r>
      <t>2</t>
    </r>
    <r>
      <rPr>
        <sz val="10"/>
        <rFont val="Arial Narrow"/>
        <family val="2"/>
      </rPr>
      <t xml:space="preserve"> FY 2022 data for each state and territory is not available. </t>
    </r>
  </si>
  <si>
    <t>Department of Health and Human Services, Substance Abuse and Mental Health Services Administration</t>
  </si>
  <si>
    <t/>
  </si>
  <si>
    <r>
      <t>1</t>
    </r>
    <r>
      <rPr>
        <sz val="10"/>
        <rFont val="Arial Narrow"/>
        <family val="2"/>
      </rPr>
      <t xml:space="preserve"> Funds cover the Red Lake Indians</t>
    </r>
  </si>
  <si>
    <t>Department of Homeland Security, Federal Emergency Management Agency</t>
  </si>
  <si>
    <t>70-0413-0-1-999 et al</t>
  </si>
  <si>
    <r>
      <t>4</t>
    </r>
    <r>
      <rPr>
        <sz val="10"/>
        <rFont val="Arial Narrow"/>
        <family val="2"/>
      </rPr>
      <t xml:space="preserve"> 97.042 Emergency Management Performance Grants (EMPG)</t>
    </r>
  </si>
  <si>
    <t>Department of Housing and Urban Development, Community Planning and Development</t>
  </si>
  <si>
    <t>86-0162-1-01-451</t>
  </si>
  <si>
    <t>86-0162-0-1-451</t>
  </si>
  <si>
    <t>86-0205-0-1-604</t>
  </si>
  <si>
    <r>
      <t>1</t>
    </r>
    <r>
      <rPr>
        <sz val="10"/>
        <rFont val="Arial Narrow"/>
        <family val="2"/>
      </rPr>
      <t xml:space="preserve"> Of the $5.0 billion provided by ARP to the HOME program, $4.925 billion will be allocated by formula to grantees, and HUD anticipates that all of that funding will be obligated in 2022. Therefore, FY22 Obligations reflects $1.724 billion in obligations from routine appropriations to HOME, as well as $4.925 billion in obligations from funds provided by ARP.</t>
    </r>
  </si>
  <si>
    <t>Department of Housing and Urban Development, Public and Indian Housing Programs</t>
  </si>
  <si>
    <t>86-0302-0-1-604</t>
  </si>
  <si>
    <t>86-0163-0-1-604</t>
  </si>
  <si>
    <r>
      <t>1</t>
    </r>
    <r>
      <rPr>
        <sz val="10"/>
        <rFont val="Arial Narrow"/>
        <family val="2"/>
      </rPr>
      <t xml:space="preserve"> Funding for this purpose was appropriated in the "Public Housing Fund" account beginning in FY21, and the Budget proposes to continue this in FY 2022.</t>
    </r>
  </si>
  <si>
    <t>86-0304-0-1-604</t>
  </si>
  <si>
    <t>Department of Labor, Employment and Training Administration</t>
  </si>
  <si>
    <t>16-0179-0-1-603</t>
  </si>
  <si>
    <t>Department of Transportation, Federal Aviation Administration</t>
  </si>
  <si>
    <t>Department of Transportation, Federal Highway Administration</t>
  </si>
  <si>
    <t>69-8083-0-7-401</t>
  </si>
  <si>
    <r>
      <t>1</t>
    </r>
    <r>
      <rPr>
        <sz val="10"/>
        <rFont val="Arial Narrow"/>
        <family val="2"/>
      </rPr>
      <t xml:space="preserve"> This amount includes funding for allocated programs, which has not been identified as being provided to a specific State at this time.</t>
    </r>
  </si>
  <si>
    <t>Department of Transportation, Federal Transit Administration</t>
  </si>
  <si>
    <t>69-2812-0-401</t>
  </si>
  <si>
    <t>69-8350-0-7-401</t>
  </si>
  <si>
    <t>68-0103-0-1-304</t>
  </si>
  <si>
    <t>27-5183-0-2-376</t>
  </si>
  <si>
    <t>027-1913-000-0</t>
  </si>
  <si>
    <t>Emergency Connectivity Fund for Educational Connections and Devices (TBD)</t>
  </si>
  <si>
    <t>Universal Service Fund Schools and Libraries (E-Rate) (32.004)</t>
  </si>
  <si>
    <t>Federal Communications Commission, Federal Communications Commission</t>
  </si>
  <si>
    <t>Capitalization Grant for Drinking Water State Revolving Fund (66.468)</t>
  </si>
  <si>
    <t>Capitalization Grant for Clean Water State Revolving Funds (66.458)</t>
  </si>
  <si>
    <t>Highway Planning and Construction (20.205)</t>
  </si>
  <si>
    <t>Unemployment Insurance (17.225)</t>
  </si>
  <si>
    <t>Public Housing Capital Fund (14.872)</t>
  </si>
  <si>
    <t>Public Housing Operating Fund (14.850)</t>
  </si>
  <si>
    <t>Section 8 Housing Choice Vouchers (14.871)</t>
  </si>
  <si>
    <t>Community Development Block Grant (14.218; 14.225; 14.228; 14.862)</t>
  </si>
  <si>
    <t>HOME Investment Partnerships Program (14.239)</t>
  </si>
  <si>
    <t>Community Development Block Grant-Disaster Recovery (14.218; 14.228; 14.269)</t>
  </si>
  <si>
    <t>FEMA Preparedness Grants (97.067 et al)</t>
  </si>
  <si>
    <t>Social Services Block Grant (93.667)</t>
  </si>
  <si>
    <t>Adoption Assistance (93.659)</t>
  </si>
  <si>
    <t>Foster Care - Title IV-E (93.658)</t>
  </si>
  <si>
    <t>Head Start (93.600)</t>
  </si>
  <si>
    <t>Child Care and Development Fund - Matching (93.596b)</t>
  </si>
  <si>
    <t>Child Care and Development Fund - Mandatory (93.596a)</t>
  </si>
  <si>
    <t>Child Care and Development Block Grant (93.575)</t>
  </si>
  <si>
    <t>Low Income Home Energy Assistance Program (93.568)</t>
  </si>
  <si>
    <t>Child Support Enforcement-Federal of State and Local Administrative Costs and Incentives (93.563)</t>
  </si>
  <si>
    <t>Temporary Assistance for Needy Families (TANF) Family Assistance Grants (93.558)</t>
  </si>
  <si>
    <t>Grants to States for Medicaid (93.778)</t>
  </si>
  <si>
    <t>Children's Health Insurance Program (93.767)</t>
  </si>
  <si>
    <t>Supporting Effective Instruction State Grants (84.367)</t>
  </si>
  <si>
    <t>Title I Grants to Local Educational Agencies (84.010)</t>
  </si>
  <si>
    <t>State Administrative Matching Grants for the Supplemental Nutrition Assistance Program (10.561)</t>
  </si>
  <si>
    <t>Child and Adult Care Food Program (10.558)</t>
  </si>
  <si>
    <t>Special Supplemental Nutrition Program for Women, Infants, and Children (WIC) (10.557)</t>
  </si>
  <si>
    <t>National School Lunch Program (10.555)</t>
  </si>
  <si>
    <t>School Breakfast Program (10.553)</t>
  </si>
  <si>
    <t>Department of Agriculture, Food and Nutrition Service</t>
  </si>
  <si>
    <t>ARP
Obligation
Authority</t>
  </si>
  <si>
    <t>Agency, Bureau, and Program</t>
  </si>
  <si>
    <t>(Obligations in millions of dollars)</t>
  </si>
  <si>
    <t>Table 11-3. Summary of Programs by Agency, Bureau, and Program</t>
  </si>
  <si>
    <t>84.126</t>
  </si>
  <si>
    <t>84.027</t>
  </si>
  <si>
    <t>84.425</t>
  </si>
  <si>
    <t>Transit Infrastructure Grants (TBD)</t>
  </si>
  <si>
    <t>Vocational Rehabilitation State Grants (84.126)</t>
  </si>
  <si>
    <t>Special Education Grants to States (84.027)</t>
  </si>
  <si>
    <t>Elementary and Secondary School Emergency Relief Fund (84.425)</t>
  </si>
  <si>
    <t>Governor's Emergency Education Relief Fund (84.425)</t>
  </si>
  <si>
    <t>Emergency Assistance to Non-Public Schools (84.425)</t>
  </si>
  <si>
    <t>Ryan White HIV/AIDS Treatment Modernization Act - Part B HIV Care Grants (93.917)</t>
  </si>
  <si>
    <t>State Opioid Response (93.788)</t>
  </si>
  <si>
    <t>Substance Abuse Prevention and Treatment  (93.959)</t>
  </si>
  <si>
    <t>14.872</t>
  </si>
  <si>
    <t>Public Housing Fund (14.872)</t>
  </si>
  <si>
    <t>Grants-in-aid for Airports (20.106)</t>
  </si>
  <si>
    <t>Transit Formula Grants (20.507)</t>
  </si>
  <si>
    <t>1)</t>
  </si>
  <si>
    <t>The Federal agency that administers the program.</t>
  </si>
  <si>
    <t>2)</t>
  </si>
  <si>
    <r>
      <t xml:space="preserve">The program title and number as contained in the </t>
    </r>
    <r>
      <rPr>
        <i/>
        <sz val="12"/>
        <color indexed="8"/>
        <rFont val="Arial"/>
        <family val="2"/>
      </rPr>
      <t>Catalog of Federal Domestic Assistance.</t>
    </r>
  </si>
  <si>
    <t>3)</t>
  </si>
  <si>
    <t>The Treasury budget account number from which the program is funded.</t>
  </si>
  <si>
    <t>4)</t>
  </si>
  <si>
    <t>5)</t>
  </si>
  <si>
    <t>6)</t>
  </si>
  <si>
    <t>FY 2022 Budget State-by-State Tables</t>
  </si>
  <si>
    <t>Actual 2020 obligations for States, Federal territories, or Indian Tribes in thousands of dollars.  Undistributed obligations are generally project funds that are not distributed by formula, or programs for which State-by-State data are not available.</t>
  </si>
  <si>
    <t>Estimates of 2022 obligations by State, which are based on the 2022 Budget request, unless otherwise noted.</t>
  </si>
  <si>
    <t>Table 11-5. School Breakfast Program (10.553)</t>
  </si>
  <si>
    <t>Table 11-6. National School Lunch Program (10.555)</t>
  </si>
  <si>
    <t>Table 11-7. Special Supplemental Nutrition Program for Women, Infants, and Children (WIC) (10.557)</t>
  </si>
  <si>
    <t>Table 11-8. Child and Adult Care Food Program (10.558)</t>
  </si>
  <si>
    <t>Table 11-9. State Administrative Matching Grants for the Supplemental Nutrition Assistance Program (10.561)</t>
  </si>
  <si>
    <t>Table 11-10. Vocational Rehabilitation State Grants (84.126)</t>
  </si>
  <si>
    <t>Table 11-11. Special Education Grants to States (84.027)</t>
  </si>
  <si>
    <t>Table 11-12. Title I Grants to Local Educational Agencies (84.010)</t>
  </si>
  <si>
    <t>Table 11-13. Supporting Effective Instruction State Grants (84.367)</t>
  </si>
  <si>
    <t>Table 11-17.  Children's Health Insurance Program (93.767)</t>
  </si>
  <si>
    <t>Table 11-18. Grants to States for Medicaid (93.778)</t>
  </si>
  <si>
    <t>Table 11-19. Temporary Assistance for Needy Families (TANF) Family Assistance Grants (93.558)</t>
  </si>
  <si>
    <t>Table 11-20. Child Support Enforcement-Federal of State and Local Administrative Costs and Incentives (93.563)</t>
  </si>
  <si>
    <t>Table 11-21. Low Income Home Energy Assistance Program (93.568)</t>
  </si>
  <si>
    <t>Table 11-22. Child Care and Development Block Grant (93.575)</t>
  </si>
  <si>
    <t>Table 11-23. Child Care and Development Fund - Mandatory (93.596a)</t>
  </si>
  <si>
    <t>Table 11-24. Child Care and Development Fund - Matching (93.596b)</t>
  </si>
  <si>
    <t>Table 11-25. Head Start (93.600)</t>
  </si>
  <si>
    <t>Table 11-26. Foster Care - Title IV-E (93.658)</t>
  </si>
  <si>
    <t>Table 11-27. Adoption Assistance (93.659)</t>
  </si>
  <si>
    <t>Table 11-28. Social Services Block Grant (93.667)</t>
  </si>
  <si>
    <t>Table 11-29.  Ryan White HIV/AIDS Treatment Modernization Act - Part B HIV Care Grants (93.917)</t>
  </si>
  <si>
    <t>Table 11-30.  State Opioid Response (93.788)</t>
  </si>
  <si>
    <t>Table 11-31.  Substance Abuse Prevention and Treatment (93.959)</t>
  </si>
  <si>
    <t>Table 11-32. FEMA Preparedness Grants (97.067 et al)</t>
  </si>
  <si>
    <t>Table 11-33. Community Development Block Grant (14.218; 14.225; 14.228; 14.862)</t>
  </si>
  <si>
    <t>Table 11-34. Community Development Block Grant-Disaster Recovery (14.218; 14.228; 14.269)</t>
  </si>
  <si>
    <t>Table 11-35. HOME Investment Partnerships Program (14.239)</t>
  </si>
  <si>
    <t>Table 11-36. Community Development Block Grant (14.218; 14.225; 14.228; 14.862)</t>
  </si>
  <si>
    <t>Table 11-37. Section 8 Housing Choice Vouchers (14.871)</t>
  </si>
  <si>
    <t>Table 11-38. Public Housing Operating Fund (14.850)</t>
  </si>
  <si>
    <t>Table 11-39. Public Housing Capital Fund (14.872)</t>
  </si>
  <si>
    <t>Table 11-40. Public Housing Fund (14.872)</t>
  </si>
  <si>
    <t>Table 11-41.  Unemployment Insurance (17.225)</t>
  </si>
  <si>
    <t>Table 11-42.  Grants-in-aid for Airports (20.106)</t>
  </si>
  <si>
    <t>Table 11-43. Highway Planning and Construction (20.205)</t>
  </si>
  <si>
    <t>Table 11-44.  Transit Infrastructure Grants (TBD)</t>
  </si>
  <si>
    <t>Table 11-45. Transit Formula Grants (20.507)</t>
  </si>
  <si>
    <t>Table 11-46.  Capitalization Grant for Clean Water State Revolving Funds (66.458)</t>
  </si>
  <si>
    <t>Table 11-47. Capitalization Grant for Drinking Water State Revolving Fund (66.468)</t>
  </si>
  <si>
    <t>Table 11-48. Universal Service Fund Schools and Libraries (E-Rate) (32.004)</t>
  </si>
  <si>
    <t>Table 11-49. Emergency Connectivity Fund for Educational Connections and Devices (TBD)</t>
  </si>
  <si>
    <t>130110^1</t>
  </si>
  <si>
    <t>264059^1</t>
  </si>
  <si>
    <t>47741^1</t>
  </si>
  <si>
    <t>352611^1</t>
  </si>
  <si>
    <t>160664^1</t>
  </si>
  <si>
    <t>2038992^1</t>
  </si>
  <si>
    <t>161242^1</t>
  </si>
  <si>
    <t>155075^1</t>
  </si>
  <si>
    <t>53909^1</t>
  </si>
  <si>
    <t>48971^1</t>
  </si>
  <si>
    <t>906888^1</t>
  </si>
  <si>
    <t>566094^1</t>
  </si>
  <si>
    <t>57185^1</t>
  </si>
  <si>
    <t>56861^1</t>
  </si>
  <si>
    <t>684258^1</t>
  </si>
  <si>
    <t>247312^1</t>
  </si>
  <si>
    <t>102619^1</t>
  </si>
  <si>
    <t>111535^1</t>
  </si>
  <si>
    <t>262691^1</t>
  </si>
  <si>
    <t>363402^1</t>
  </si>
  <si>
    <t>55204^1</t>
  </si>
  <si>
    <t>285819^1</t>
  </si>
  <si>
    <t>258411^1</t>
  </si>
  <si>
    <t>479437^1</t>
  </si>
  <si>
    <t>180208^1</t>
  </si>
  <si>
    <t>224633^1</t>
  </si>
  <si>
    <t>257092^1</t>
  </si>
  <si>
    <t>51290^1</t>
  </si>
  <si>
    <t>66945^1</t>
  </si>
  <si>
    <t>149788^1</t>
  </si>
  <si>
    <t>44255^1</t>
  </si>
  <si>
    <t>357181^1</t>
  </si>
  <si>
    <t>130308^1</t>
  </si>
  <si>
    <t>1226940^1</t>
  </si>
  <si>
    <t>496230^1</t>
  </si>
  <si>
    <t>43310^1</t>
  </si>
  <si>
    <t>597766^1</t>
  </si>
  <si>
    <t>199934^1</t>
  </si>
  <si>
    <t>144861^1</t>
  </si>
  <si>
    <t>712354^1</t>
  </si>
  <si>
    <t>55561^1</t>
  </si>
  <si>
    <t>266068^1</t>
  </si>
  <si>
    <t>51082^1</t>
  </si>
  <si>
    <t>321316^1</t>
  </si>
  <si>
    <t>1591856^1</t>
  </si>
  <si>
    <t>86202^1</t>
  </si>
  <si>
    <t>37467^1</t>
  </si>
  <si>
    <t>292658^1</t>
  </si>
  <si>
    <t>276193^1</t>
  </si>
  <si>
    <t>98297^1</t>
  </si>
  <si>
    <t>211988^1</t>
  </si>
  <si>
    <t>39720^1</t>
  </si>
  <si>
    <t>20291^1</t>
  </si>
  <si>
    <t>21985^1</t>
  </si>
  <si>
    <t>12265^1</t>
  </si>
  <si>
    <t>417469^1</t>
  </si>
  <si>
    <t>1000^1</t>
  </si>
  <si>
    <t>10586^1</t>
  </si>
  <si>
    <t>115723^1</t>
  </si>
  <si>
    <t>5000^1</t>
  </si>
  <si>
    <t>16,536,802^1</t>
  </si>
  <si>
    <t xml:space="preserve">Table 11-14. Elementary and Secondary School Emergency Relief Fund (84.425) </t>
  </si>
  <si>
    <t>Table 11-16. Emergency Assistance to Non-Public Schools (84.425)</t>
  </si>
  <si>
    <t>Table 11-15. Governor's Emergency Education Relief Fund (84.425)</t>
  </si>
  <si>
    <t>.…..^1</t>
  </si>
  <si>
    <t>.…..</t>
  </si>
  <si>
    <t>.…..^2</t>
  </si>
  <si>
    <t>1315005^1</t>
  </si>
  <si>
    <t>1345005^2</t>
  </si>
  <si>
    <t>594^1</t>
  </si>
  <si>
    <r>
      <t>15</t>
    </r>
    <r>
      <rPr>
        <sz val="10"/>
        <rFont val="Arial Narrow"/>
        <family val="2"/>
      </rPr>
      <t xml:space="preserve"> 2022 Estimate is dependent on policy decisions that will be made in 2022 regarding priorities and the risk formula.</t>
    </r>
  </si>
  <si>
    <t>……^15</t>
  </si>
  <si>
    <t>50^4</t>
  </si>
  <si>
    <t>296,677^1, 3, 4, 5, 6, 7, 8, 9, 11, 12</t>
  </si>
  <si>
    <t>9,232^1, 4, 5, 6, 7, 8, 9, 12</t>
  </si>
  <si>
    <t>79,139^1, 4, 5, 6, 7, 8, 9, 12</t>
  </si>
  <si>
    <t>13,278^1, 4, 5, 6, 7, 8, 9, 12</t>
  </si>
  <si>
    <t>361,798^1, 2, 3, 4, 5, 6, 7, 8, 9, 11, 12, 13,14</t>
  </si>
  <si>
    <t>27,770^1, 2, 4, 5, 6, 7, 8, 9, 13, 14</t>
  </si>
  <si>
    <t>22,897^1, 4, 5, 6, 7, 8, 9, 11</t>
  </si>
  <si>
    <t>11,128^1, 4, 5, 6, 7, 8, 9, 11</t>
  </si>
  <si>
    <t>71,489^1, 2, 4, 5, 6, 7, 9, 13</t>
  </si>
  <si>
    <t>142,999^1, 2, 3, 4, 5, 6, 7, 8, 9, 10, 11 ,14</t>
  </si>
  <si>
    <t>46,713^1, 2, 3, 4, 5, 6, 7, 9, 11, 13</t>
  </si>
  <si>
    <t>14,178^1, 2, 4, 5, 7, 9, 11</t>
  </si>
  <si>
    <t>10,534^1, 3, 4, 5, 6, 7</t>
  </si>
  <si>
    <t>139,695^1, 2, 4, 5, 6, 7, 8, 9, 11, 13</t>
  </si>
  <si>
    <t>34,555^1, 4, 5, 6, 7, 8, 9, 11</t>
  </si>
  <si>
    <t>15,504^1, 4, 5, 6, 7, 8, 9</t>
  </si>
  <si>
    <t>16,104^1, 4, 5, 6, 7, 8, 9, 12, 14</t>
  </si>
  <si>
    <t>21,140^1, 4, 5, 6, 7, 8, 9, 11, 14</t>
  </si>
  <si>
    <t>43,967^1, 2, 3, 4, 5, 6, 7, 8, 9, 11, 14</t>
  </si>
  <si>
    <t>13,552^1, 3, 4, 5, 6, 7, 9, 12</t>
  </si>
  <si>
    <t>59,111^1, 2, 4, 5, 6, 7, 8, 9, 11, 14</t>
  </si>
  <si>
    <t>71,607^1, 2, 4, 5, 6, 7, 8, 9, 11, 12, 13</t>
  </si>
  <si>
    <t>43,370^1, 2, 3, 4, 5, 6, 7, 8, 9, 11</t>
  </si>
  <si>
    <t>31,679^1, 2, 3, 4, 5, 6, 7, 8, 9, 11, 12, 14</t>
  </si>
  <si>
    <t>16,476^1, 3, 4, 5, 6, 7, 8, 9, 11</t>
  </si>
  <si>
    <t>25,606^1, 2, 4, 5, 6, 7, 8, 9, 11</t>
  </si>
  <si>
    <t>12,562^1, 3, 4, 5, 6, 7, 8, 9, 12</t>
  </si>
  <si>
    <t>10,390^1, 4, 5, 7, 9</t>
  </si>
  <si>
    <t>29,372^1, 2, 4, 5, 6, 7, 8, 9, 14</t>
  </si>
  <si>
    <t>16,347^1, 3, 4, 5, 6, 7, 8, 9, 14</t>
  </si>
  <si>
    <t>81,916^1, 2, 4, 5, 6, 7, 8, 9, 10, 11, 13, 14</t>
  </si>
  <si>
    <t>14,271^1, 3, 4, 5, 6, 7, 8, 9</t>
  </si>
  <si>
    <t>410,068^1, 2, 3, 4, 5, 6, 7, 8, 9,10,11, 13, 14</t>
  </si>
  <si>
    <t>46,585^1, 4, 5, 6, 7, 8, 9, 11, 14</t>
  </si>
  <si>
    <t>11,463^1, 3, 4, 5, 6, 9</t>
  </si>
  <si>
    <t>66,408^1, 3, 4, 5, 6, 7, 8, 9, 11, 14</t>
  </si>
  <si>
    <t>17,762^1, 3, 4, 5, 6, 7, 8, 9, 11, 14</t>
  </si>
  <si>
    <t>25,702^1, 2, 4, 5, 6, 7, 8, 9, 13</t>
  </si>
  <si>
    <t>96,387^1, 2,3,4,5,6,7,8,9,11,13,14</t>
  </si>
  <si>
    <t>19,629^1, 4, 5, 6, 7, 8, 9, 11</t>
  </si>
  <si>
    <t>26,471^1, 4, 5, 6, 7, 8, 9, 11</t>
  </si>
  <si>
    <t>10,780^1, 4, 5, 6, 8, 9, 12</t>
  </si>
  <si>
    <t>27,063^1, 4, 5, 6, 7, 8, 9, 11</t>
  </si>
  <si>
    <t>17,4572^1, 4, 5, 6, 7, 8, 9, 11,12,14</t>
  </si>
  <si>
    <t>14,323^1, 4, 5, 6, 7, 8, 9</t>
  </si>
  <si>
    <t>10,122^1, 3, 4, 5, 6, 7, 8, 9</t>
  </si>
  <si>
    <t>51,733^1, 2, 4, 5, 6, 7, 8, 9, 11</t>
  </si>
  <si>
    <t>50,501^1, 2, 3, 4, 5, 6, 7, 8, 9, 11, 12, 13, 14</t>
  </si>
  <si>
    <t>14,327^1, 4, 5, 6, 7, 8, 9, 11</t>
  </si>
  <si>
    <t>20,254^1, 4, 5, 6, 7, 8, 9, 12, 14</t>
  </si>
  <si>
    <t>9,134^1, 4, 5, 6, 7, 8, 9</t>
  </si>
  <si>
    <t>2,179^1, 4, 5</t>
  </si>
  <si>
    <t>2,276^1, 4, 5</t>
  </si>
  <si>
    <t>2,180^1, 4, 5</t>
  </si>
  <si>
    <t>13,834^1, 3, 4, 5, 6, 11</t>
  </si>
  <si>
    <t>3,056^1, 3, 4, 5, 9</t>
  </si>
  <si>
    <t>…...^1</t>
  </si>
  <si>
    <t>87,127^1</t>
  </si>
  <si>
    <t>12,462^1</t>
  </si>
  <si>
    <t>11,2287^1</t>
  </si>
  <si>
    <t>58,791^1</t>
  </si>
  <si>
    <t>899,948^1</t>
  </si>
  <si>
    <t>90,335^1</t>
  </si>
  <si>
    <t>77,745^1</t>
  </si>
  <si>
    <t>16,934^1</t>
  </si>
  <si>
    <t>26,401^1</t>
  </si>
  <si>
    <t>339,373^1</t>
  </si>
  <si>
    <t>188,950^1</t>
  </si>
  <si>
    <t>25,248^1</t>
  </si>
  <si>
    <t>30,098^1</t>
  </si>
  <si>
    <t>275,030^1</t>
  </si>
  <si>
    <t>130,581^1</t>
  </si>
  <si>
    <t>57,228^1</t>
  </si>
  <si>
    <t>52,929^1</t>
  </si>
  <si>
    <t>95,574^1</t>
  </si>
  <si>
    <t>94,410^1</t>
  </si>
  <si>
    <t>28,216^1</t>
  </si>
  <si>
    <t>91,908^1</t>
  </si>
  <si>
    <t>168,488^1</t>
  </si>
  <si>
    <t>202,977^1</t>
  </si>
  <si>
    <t>89,931^1</t>
  </si>
  <si>
    <t>59,307^1</t>
  </si>
  <si>
    <t>119,075^1</t>
  </si>
  <si>
    <t>20,200^1</t>
  </si>
  <si>
    <t>36,858^1</t>
  </si>
  <si>
    <t>51,663^1</t>
  </si>
  <si>
    <t>24,248^1</t>
  </si>
  <si>
    <t>176,071^1</t>
  </si>
  <si>
    <t>38,703^1</t>
  </si>
  <si>
    <t>626,928^1</t>
  </si>
  <si>
    <t>185,092^1</t>
  </si>
  <si>
    <t>13,875^1</t>
  </si>
  <si>
    <t>270,408^1</t>
  </si>
  <si>
    <t>72,681^1</t>
  </si>
  <si>
    <t>89,843^1</t>
  </si>
  <si>
    <t>278,301^1</t>
  </si>
  <si>
    <t>31,134^1</t>
  </si>
  <si>
    <t>84,165^1</t>
  </si>
  <si>
    <t>15,593^1</t>
  </si>
  <si>
    <t>125,770^1</t>
  </si>
  <si>
    <t>462,982^1</t>
  </si>
  <si>
    <t>39,776^1</t>
  </si>
  <si>
    <t>15,406^1</t>
  </si>
  <si>
    <t>130,686^1</t>
  </si>
  <si>
    <t>132,341^1</t>
  </si>
  <si>
    <t>38,063^1</t>
  </si>
  <si>
    <t>121,189^1</t>
  </si>
  <si>
    <t>11,840^1</t>
  </si>
  <si>
    <t>1,339^1</t>
  </si>
  <si>
    <t>5,471^1</t>
  </si>
  <si>
    <t>23,86^1</t>
  </si>
  <si>
    <t>109,581^1</t>
  </si>
  <si>
    <t>4,688^1</t>
  </si>
  <si>
    <t>364,243^1</t>
  </si>
  <si>
    <t>359,733^2</t>
  </si>
  <si>
    <t>723,976^1</t>
  </si>
  <si>
    <t>……^1</t>
  </si>
  <si>
    <t>Note: This table also includes budget account number 69-0500-0-1-401 and 69-0548-0-1-401.</t>
  </si>
  <si>
    <t>Note: The FY 2021 column reflects the estimated distribution of Federal-aid highways obligation limitation plus exempt contract authority post sequestration, estimated Emergency Relief Program amounts, and estimated Highway Infrastructure Programs amounts.</t>
  </si>
  <si>
    <t>Note: The FY 2022 column reflects the estimated distribution of Federal-aid highways obligation limitation plus exempt contract authority post sequestration, estimated Emergency Relief Program amounts, and estimated Highway Infrastructure Programs amounts.</t>
  </si>
  <si>
    <t>576,797^1</t>
  </si>
  <si>
    <t>8,289,052^1</t>
  </si>
  <si>
    <t>8,865,849^1</t>
  </si>
  <si>
    <t>8,426,208^1</t>
  </si>
  <si>
    <t>77,331^1</t>
  </si>
  <si>
    <t>37,440^2</t>
  </si>
  <si>
    <t>40,560^3</t>
  </si>
  <si>
    <t>81,000^4</t>
  </si>
  <si>
    <t>Note: Interagency Agreement with the Indian Health Service - to provide services to increase basic sanitation access by providing wastewater infrastructure to Indian Tribes.</t>
  </si>
  <si>
    <t>Note: Section 424 P.L. 114-113 which amended the CWA provides EPA the authority to retain up to 0.25 percent of CWSRF and DWSRF appropriated funds for American Iron and Steel Management and Oversight.</t>
  </si>
  <si>
    <t>Note: Payroll for employee designated for Hurricane Florence &amp; Michael for Disaster Relief.</t>
  </si>
  <si>
    <t>Note: UCMR set aside - These funds are a set-aside of the DWSRF program ($2 million annually) to pay for the cost of monitoring for unregulated contaminants at systems serving fewer than 10,000 people. EPA uses the Unregulated Contaminant Monitoring (UCM) program to collect data for contaminants suspected to be present in drinking water, but that do not have health-based standards set under the Safe Drinking Water Act (SDWA) and these funds are for the administration, management, and oversight associated with the American Iron and Steel Requirement. 0.25% is set-aside from the DWSRF for this purpose.</t>
  </si>
  <si>
    <t>Note: Contract to Process Applications Inc. to provide technical support for Drinking Water Optimization training, conduct performance evaluations, and provide microbial performance-based training.</t>
  </si>
  <si>
    <t>Note: All numbers are in thousands</t>
  </si>
  <si>
    <t>Note: Fiscal year is based on the US Federal Government fiscal year (10/1/-9/30)</t>
  </si>
  <si>
    <t>Note: Data is based on actual net obligations (Commitments) to public applicant organizations for fiscal year 2020.</t>
  </si>
  <si>
    <t>Note: Net obligations includes post commitment transactions transactions such as appeals, service substitutions, and FCC Form 500 transactions.</t>
  </si>
  <si>
    <t>Note: Net obligations exclude deobligations due to expired funding requests</t>
  </si>
  <si>
    <t>Note: Data for fiscal years 2021 to 2022 is based on projected growth rates in obligations from the latest E-Rate Program 10-year Plan.</t>
  </si>
  <si>
    <t>Note: Projected growth rate for fiscal year 2020 to 2021 is 0%</t>
  </si>
  <si>
    <t>Note: Projected growth rate for fiscal year 2021 to 2022 is 0%</t>
  </si>
  <si>
    <t>Note: Data is based on applicant self identification and certification on FCC Form 471 as public, private and tribal (Indian).</t>
  </si>
  <si>
    <t>Note: The Emergency Connectivity Fund estimate is based on using the same percentage as E-Rate but that actual programmatic rules coupled with demand will dictate outcomes.</t>
  </si>
  <si>
    <t>Note: Excludes undistributed obligations.</t>
  </si>
  <si>
    <t>Note: Obligation estimates for FY 2021 and 2022 reflect the State-reported estimates of Medicaid needs available to CMS in November 2020 and do not account for recently enacted legislation, regulations, or guidance.</t>
  </si>
  <si>
    <t>Note: FY 2022 estimates for the territories have been adjusted to account for the limitation on total Medicaid payments to each territory as defined by 42 U.S.C. 1308. Estimates may not include funding available for activities not pursuant to 42 U.S.C. 1308.</t>
  </si>
  <si>
    <t>Note: Funding for all years includes prior year funding available for obligation.</t>
  </si>
  <si>
    <t>Note: State allocations in all years are subject to change based on tribal agreements, therefore all final state allocations will be included on the HHS/ACF Office of Community Services web site.</t>
  </si>
  <si>
    <t>Note: FY 2020 funds include $948,486 in reallocated funds from tribes FY 2019 available balances that were awarded in FY 2020.</t>
  </si>
  <si>
    <t>Note: FY 2020 includes about $58 million carried over from FY 2019 funds for EHS-CC Partnerships that were available until March 31, 2020.</t>
  </si>
  <si>
    <t>Note: The Discretionary Funds in FY 2020 and FY 2021 includes $25 million to support Designated Renewal System transitions and in FY 2021 an additional $906.3 million of the $950 million set aside for EHS-CC Partnership and HS/EHS Expansion awards to be made by Sept. 30, 2023.</t>
  </si>
  <si>
    <t>Note: Training and Technical Assistance in FY 2022 includes about $22.7 million of the $950 million set aside for EHS-CC Partnership and HS/EHS Expansion awards to be made by Sept. 30, 2023.</t>
  </si>
  <si>
    <t>Note: FY 2022 States' amounts reflect Current Law.</t>
  </si>
  <si>
    <r>
      <rPr>
        <vertAlign val="superscript"/>
        <sz val="10"/>
        <rFont val="Arial Narrow"/>
        <family val="2"/>
      </rPr>
      <t>1</t>
    </r>
    <r>
      <rPr>
        <sz val="10"/>
        <rFont val="Arial Narrow"/>
        <family val="2"/>
      </rPr>
      <t xml:space="preserve"> The Further Consolidated Appropriations Act, 2020, provided the Department with authority to use fiscal year 2020 funds that remained available subsequent to the reallotment of funds to States pursuant to section 110(b) of the Rehabilitation Act for select purposes in fiscal year 2021.</t>
    </r>
  </si>
  <si>
    <r>
      <rPr>
        <vertAlign val="superscript"/>
        <sz val="10"/>
        <rFont val="Arial Narrow"/>
        <family val="2"/>
      </rPr>
      <t>1</t>
    </r>
    <r>
      <rPr>
        <sz val="10"/>
        <rFont val="Arial Narrow"/>
        <family val="2"/>
      </rPr>
      <t xml:space="preserve"> 97.067 State Homeland Security Grant Program (SHSP)</t>
    </r>
  </si>
  <si>
    <r>
      <rPr>
        <vertAlign val="superscript"/>
        <sz val="10"/>
        <rFont val="Arial Narrow"/>
        <family val="2"/>
      </rPr>
      <t>2</t>
    </r>
    <r>
      <rPr>
        <sz val="10"/>
        <rFont val="Arial Narrow"/>
        <family val="2"/>
      </rPr>
      <t xml:space="preserve"> 97.008 Urban Area Security Initiative (UASI)</t>
    </r>
  </si>
  <si>
    <r>
      <rPr>
        <vertAlign val="superscript"/>
        <sz val="10"/>
        <rFont val="Arial Narrow"/>
        <family val="2"/>
      </rPr>
      <t>3</t>
    </r>
    <r>
      <rPr>
        <sz val="10"/>
        <rFont val="Arial Narrow"/>
        <family val="2"/>
      </rPr>
      <t xml:space="preserve"> 97.067 Operation Stonegarden (OPSG)</t>
    </r>
  </si>
  <si>
    <r>
      <rPr>
        <vertAlign val="superscript"/>
        <sz val="10"/>
        <rFont val="Arial Narrow"/>
        <family val="2"/>
      </rPr>
      <t>5</t>
    </r>
    <r>
      <rPr>
        <sz val="10"/>
        <rFont val="Arial Narrow"/>
        <family val="2"/>
      </rPr>
      <t xml:space="preserve"> Emergency Management Performance Grants (EMPG Supplemental)</t>
    </r>
  </si>
  <si>
    <r>
      <rPr>
        <vertAlign val="superscript"/>
        <sz val="10"/>
        <rFont val="Arial Narrow"/>
        <family val="2"/>
      </rPr>
      <t>6</t>
    </r>
    <r>
      <rPr>
        <sz val="10"/>
        <rFont val="Arial Narrow"/>
        <family val="2"/>
      </rPr>
      <t xml:space="preserve"> 97.044 Assistance to Firefighters Grants (AFG)</t>
    </r>
  </si>
  <si>
    <r>
      <rPr>
        <vertAlign val="superscript"/>
        <sz val="10"/>
        <rFont val="Arial Narrow"/>
        <family val="2"/>
      </rPr>
      <t>7</t>
    </r>
    <r>
      <rPr>
        <sz val="10"/>
        <rFont val="Arial Narrow"/>
        <family val="2"/>
      </rPr>
      <t xml:space="preserve"> Assistance to Firefighters Grants Fire Grants Supplemental</t>
    </r>
  </si>
  <si>
    <r>
      <rPr>
        <vertAlign val="superscript"/>
        <sz val="10"/>
        <rFont val="Arial Narrow"/>
        <family val="2"/>
      </rPr>
      <t>8</t>
    </r>
    <r>
      <rPr>
        <sz val="10"/>
        <rFont val="Arial Narrow"/>
        <family val="2"/>
      </rPr>
      <t xml:space="preserve"> 97.083 Staffing for Adequate Fire and Emergency Response (SAFER)</t>
    </r>
  </si>
  <si>
    <r>
      <rPr>
        <vertAlign val="superscript"/>
        <sz val="10"/>
        <rFont val="Arial Narrow"/>
        <family val="2"/>
      </rPr>
      <t>9</t>
    </r>
    <r>
      <rPr>
        <sz val="10"/>
        <rFont val="Arial Narrow"/>
        <family val="2"/>
      </rPr>
      <t xml:space="preserve"> 97.008 National Security and Resilience Grant Program (NSRGP)</t>
    </r>
  </si>
  <si>
    <r>
      <rPr>
        <vertAlign val="superscript"/>
        <sz val="10"/>
        <rFont val="Arial Narrow"/>
        <family val="2"/>
      </rPr>
      <t>10</t>
    </r>
    <r>
      <rPr>
        <sz val="10"/>
        <rFont val="Arial Narrow"/>
        <family val="2"/>
      </rPr>
      <t xml:space="preserve"> 97.134 Presidential Residence Protection Assistance (PRPA)</t>
    </r>
  </si>
  <si>
    <r>
      <rPr>
        <vertAlign val="superscript"/>
        <sz val="10"/>
        <rFont val="Arial Narrow"/>
        <family val="2"/>
      </rPr>
      <t>11</t>
    </r>
    <r>
      <rPr>
        <sz val="10"/>
        <rFont val="Arial Narrow"/>
        <family val="2"/>
      </rPr>
      <t xml:space="preserve"> 97.056 Port Security Grant Program</t>
    </r>
  </si>
  <si>
    <r>
      <rPr>
        <vertAlign val="superscript"/>
        <sz val="10"/>
        <rFont val="Arial Narrow"/>
        <family val="2"/>
      </rPr>
      <t>12</t>
    </r>
    <r>
      <rPr>
        <sz val="10"/>
        <rFont val="Arial Narrow"/>
        <family val="2"/>
      </rPr>
      <t xml:space="preserve"> 97.067 Tribal Homeland Security Grant Program (THSGP)</t>
    </r>
  </si>
  <si>
    <r>
      <rPr>
        <vertAlign val="superscript"/>
        <sz val="10"/>
        <rFont val="Arial Narrow"/>
        <family val="2"/>
      </rPr>
      <t>13</t>
    </r>
    <r>
      <rPr>
        <sz val="10"/>
        <rFont val="Arial Narrow"/>
        <family val="2"/>
      </rPr>
      <t xml:space="preserve"> 97.075  Transit Security Grant Program</t>
    </r>
  </si>
  <si>
    <r>
      <rPr>
        <vertAlign val="superscript"/>
        <sz val="10"/>
        <rFont val="Arial Narrow"/>
        <family val="2"/>
      </rPr>
      <t>14</t>
    </r>
    <r>
      <rPr>
        <sz val="10"/>
        <rFont val="Arial Narrow"/>
        <family val="2"/>
      </rPr>
      <t xml:space="preserve"> 97.057 Intercity Bus Security Grant Program (IBSGP)</t>
    </r>
  </si>
  <si>
    <r>
      <rPr>
        <vertAlign val="superscript"/>
        <sz val="10"/>
        <rFont val="Arial Narrow"/>
        <family val="2"/>
      </rPr>
      <t>1</t>
    </r>
    <r>
      <rPr>
        <sz val="10"/>
        <rFont val="Arial Narrow"/>
        <family val="2"/>
      </rPr>
      <t xml:space="preserve"> Includes obligations for the Contract Renewal Set-Aside, Tenant Protection Vouchers, HUD-VA Supportive Housing (HUD-VASH), Tribal HUD-VASH, Rental Assistance Demonstration (RAD) conversions, Family Unification Program (FUP) vouchers, and Family Mobility Demonstration vouchers.</t>
    </r>
  </si>
  <si>
    <r>
      <rPr>
        <vertAlign val="superscript"/>
        <sz val="10"/>
        <rFont val="Arial Narrow"/>
        <family val="2"/>
      </rPr>
      <t>2</t>
    </r>
    <r>
      <rPr>
        <sz val="10"/>
        <rFont val="Arial Narrow"/>
        <family val="2"/>
      </rPr>
      <t xml:space="preserve"> Includes obligations for the Contract Renewal Set-Aside, Tenant Protection Vouchers, HUD-VASH, Tribal HUD-VASH, RAD conversions, and FUP vouchers.</t>
    </r>
  </si>
  <si>
    <r>
      <rPr>
        <vertAlign val="superscript"/>
        <sz val="10"/>
        <rFont val="Arial Narrow"/>
        <family val="2"/>
      </rPr>
      <t>1</t>
    </r>
    <r>
      <rPr>
        <sz val="10"/>
        <rFont val="Arial Narrow"/>
        <family val="2"/>
      </rPr>
      <t xml:space="preserve"> FY 2020 undistributed line is the oversight take down of $77,331</t>
    </r>
  </si>
  <si>
    <r>
      <rPr>
        <vertAlign val="superscript"/>
        <sz val="10"/>
        <rFont val="Arial Narrow"/>
        <family val="2"/>
      </rPr>
      <t>2</t>
    </r>
    <r>
      <rPr>
        <sz val="10"/>
        <rFont val="Arial Narrow"/>
        <family val="2"/>
      </rPr>
      <t xml:space="preserve"> FY 2021 previous authority undistributed line is the oversight take down of $37,440.</t>
    </r>
  </si>
  <si>
    <r>
      <rPr>
        <vertAlign val="superscript"/>
        <sz val="10"/>
        <rFont val="Arial Narrow"/>
        <family val="2"/>
      </rPr>
      <t>3</t>
    </r>
    <r>
      <rPr>
        <sz val="10"/>
        <rFont val="Arial Narrow"/>
        <family val="2"/>
      </rPr>
      <t xml:space="preserve"> FY 2021 new authority undistributed line is the oversight take down of $40,560.</t>
    </r>
  </si>
  <si>
    <r>
      <rPr>
        <vertAlign val="superscript"/>
        <sz val="10"/>
        <rFont val="Arial Narrow"/>
        <family val="2"/>
      </rPr>
      <t>4</t>
    </r>
    <r>
      <rPr>
        <sz val="10"/>
        <rFont val="Arial Narrow"/>
        <family val="2"/>
      </rPr>
      <t xml:space="preserve"> FY 2022 undistributed line is the oversight take down of $81,000</t>
    </r>
  </si>
  <si>
    <t>35,856</t>
  </si>
  <si>
    <t>2,288</t>
  </si>
  <si>
    <t>8,940</t>
  </si>
  <si>
    <t>126,277</t>
  </si>
  <si>
    <t>1,017,399</t>
  </si>
  <si>
    <t>64,907</t>
  </si>
  <si>
    <t>38,638</t>
  </si>
  <si>
    <t>1,369,038</t>
  </si>
  <si>
    <t>46,926</t>
  </si>
  <si>
    <t>81,814</t>
  </si>
  <si>
    <t>2,669</t>
  </si>
  <si>
    <t>93,017</t>
  </si>
  <si>
    <t>31,167</t>
  </si>
  <si>
    <t>96,741</t>
  </si>
  <si>
    <t>1,213,917</t>
  </si>
  <si>
    <t>82,215</t>
  </si>
  <si>
    <t>108,938</t>
  </si>
  <si>
    <t>710,711</t>
  </si>
  <si>
    <t>34,619</t>
  </si>
  <si>
    <t>12,305</t>
  </si>
  <si>
    <t>36,353</t>
  </si>
  <si>
    <t>176,175</t>
  </si>
  <si>
    <t>109,124</t>
  </si>
  <si>
    <t>4,598</t>
  </si>
  <si>
    <t>3,962</t>
  </si>
  <si>
    <t>4,668,739</t>
  </si>
  <si>
    <t>19,421</t>
  </si>
  <si>
    <t>106,494</t>
  </si>
  <si>
    <t>15,355</t>
  </si>
  <si>
    <t>980</t>
  </si>
  <si>
    <t>23,039</t>
  </si>
  <si>
    <t>1,470</t>
  </si>
  <si>
    <t>243,946</t>
  </si>
  <si>
    <t>26,603</t>
  </si>
  <si>
    <t>1,700,000</t>
  </si>
  <si>
    <t>15,083,920</t>
  </si>
  <si>
    <t>1,968,771</t>
  </si>
  <si>
    <t>779,217</t>
  </si>
  <si>
    <t>827,777</t>
  </si>
  <si>
    <t>67,653</t>
  </si>
  <si>
    <t>5,476</t>
  </si>
  <si>
    <t>3,652</t>
  </si>
  <si>
    <t>……</t>
  </si>
  <si>
    <t>Environmental Protection Agency,
Office of Water</t>
  </si>
  <si>
    <t>Department of Agriculture,
Food and Nutrition Service</t>
  </si>
  <si>
    <t>Environmental Protection Agency, Office of Water</t>
  </si>
  <si>
    <t>Programs distributed in all years</t>
  </si>
  <si>
    <t>FY 2021
Percentage of 
distributed
total</t>
  </si>
  <si>
    <t>Total, programs distributed by State in all years</t>
  </si>
  <si>
    <t>MEMORANDUM:</t>
  </si>
  <si>
    <r>
      <t>Not distributed by State in all years</t>
    </r>
    <r>
      <rPr>
        <vertAlign val="superscript"/>
        <sz val="10"/>
        <rFont val="Arial Narrow"/>
        <family val="2"/>
      </rPr>
      <t xml:space="preserve"> 1</t>
    </r>
  </si>
  <si>
    <t>N/A</t>
  </si>
  <si>
    <t>Total, including undistributed</t>
  </si>
  <si>
    <t>FY 2021
(Estimated)</t>
  </si>
  <si>
    <t>FY 2022
(Estimated)
Obligation</t>
  </si>
  <si>
    <t>ARP
Authority</t>
  </si>
  <si>
    <t>New
Authority</t>
  </si>
  <si>
    <t>Previous
Authority</t>
  </si>
  <si>
    <t>All programs FY 2020 (Actual)</t>
  </si>
  <si>
    <t>FY 2020 (Actual)</t>
  </si>
  <si>
    <t>FY 2021
Total
(Estimated)</t>
  </si>
  <si>
    <t>Table 11-4. Summary of Programs by State</t>
  </si>
  <si>
    <t>Obligations in 2021 from balances of previous budget authority, obligations in 2021 from new budget authority other than authority provide in the American Recovery Plan (ARP; P.L. 117-2), and obligations in 2021 from new budget authority provided in ARP, distributed by State.</t>
  </si>
  <si>
    <t>86-0481-0-1-604</t>
  </si>
  <si>
    <t>119,000^1</t>
  </si>
  <si>
    <t>151,000^1</t>
  </si>
  <si>
    <r>
      <rPr>
        <vertAlign val="superscript"/>
        <sz val="10"/>
        <rFont val="Arial Narrow"/>
        <family val="2"/>
      </rPr>
      <t>1</t>
    </r>
    <r>
      <rPr>
        <sz val="10"/>
        <rFont val="Arial Narrow"/>
        <family val="2"/>
      </rPr>
      <t xml:space="preserve"> Not distributed through the formula because it will be transferred as part of the Rental Assistance Demonstration.</t>
    </r>
  </si>
  <si>
    <t>Note: In FY 2020, funding for this purpose was appropriated in the "Public Housing Operating Fund" and "Public Housing Capital Fund" accounts.</t>
  </si>
  <si>
    <r>
      <t xml:space="preserve">1 </t>
    </r>
    <r>
      <rPr>
        <sz val="10"/>
        <color indexed="8"/>
        <rFont val="Arial Narrow"/>
        <family val="2"/>
      </rPr>
      <t>The sum of programs not distributed by State in all years.</t>
    </r>
  </si>
  <si>
    <t>-2,783,058^2</t>
  </si>
  <si>
    <t>-2,019,335^1</t>
  </si>
  <si>
    <t>The supplement also includes 45 individual program tables with State-by-State obligation data. The individual program tables display obligations for each program on a State-by-State basis.  Each program table reports the following information:</t>
  </si>
  <si>
    <t>-214,618</t>
  </si>
  <si>
    <t xml:space="preserve">The State-by-State Tables are provided as supplemental material to Chapter 11, “Aid to State and Local Governments,” in the Budget’s Analytical Perspectives volume.  This supplement includes two tables that summarize State-by-State spending for select grant programs to State and local governments.  The first summary table (11-3), “Summary of Programs by Agency, Bureau, and Program” shows obligations for each program by agency and bureau.  The second summary table (11-4), “Summary of Grant Programs by State,’’ shows total obligations across all programs for each State.  The programs in this supplement cover more than 88 percent of total grant spending.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</si>
</sst>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_);\(#,##0\);......"/>
    <numFmt numFmtId="165" formatCode="#,##0.00_);\(#,##0.00\);......"/>
  </numFmts>
  <fonts count="32" x14ac:knownFonts="1">
    <font>
      <sz val="10"/>
      <color indexed="8"/>
      <name val="Arial"/>
      <family val="2"/>
    </font>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Narrow"/>
      <family val="2"/>
    </font>
    <font>
      <sz val="10"/>
      <color indexed="8"/>
      <name val="Arial Narrow"/>
      <family val="2"/>
    </font>
    <font>
      <sz val="16"/>
      <color indexed="8"/>
      <name val="Arial Narrow"/>
      <family val="2"/>
    </font>
    <font>
      <sz val="14"/>
      <color indexed="8"/>
      <name val="Arial Narrow"/>
      <family val="2"/>
    </font>
    <font>
      <b/>
      <sz val="10"/>
      <color indexed="8"/>
      <name val="Arial Narrow"/>
      <family val="2"/>
    </font>
    <font>
      <b/>
      <sz val="10"/>
      <name val="Arial Narrow"/>
      <family val="2"/>
    </font>
    <font>
      <vertAlign val="superscript"/>
      <sz val="10"/>
      <name val="Arial Narrow"/>
      <family val="2"/>
    </font>
    <font>
      <b/>
      <sz val="11"/>
      <color indexed="8"/>
      <name val="Calibri"/>
      <family val="2"/>
    </font>
    <font>
      <sz val="11"/>
      <color rgb="FF9C6500"/>
      <name val="Calibri"/>
      <family val="2"/>
      <scheme val="minor"/>
    </font>
    <font>
      <sz val="12"/>
      <color indexed="8"/>
      <name val="Arial"/>
      <family val="2"/>
    </font>
    <font>
      <b/>
      <sz val="12"/>
      <color indexed="8"/>
      <name val="Arial"/>
      <family val="2"/>
    </font>
    <font>
      <sz val="12"/>
      <color rgb="FF000000"/>
      <name val="Arial"/>
      <family val="2"/>
    </font>
    <font>
      <i/>
      <sz val="12"/>
      <color indexed="8"/>
      <name val="Arial"/>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s>
  <borders count="3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style="thin">
        <color auto="1"/>
      </left>
      <right style="thin">
        <color auto="1"/>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auto="1"/>
      </right>
      <top style="thin">
        <color auto="1"/>
      </top>
      <bottom/>
      <diagonal/>
    </border>
    <border>
      <left style="thin">
        <color indexed="64"/>
      </left>
      <right style="thin">
        <color auto="1"/>
      </right>
      <top style="thin">
        <color indexed="64"/>
      </top>
      <bottom/>
      <diagonal/>
    </border>
    <border>
      <left style="thin">
        <color auto="1"/>
      </left>
      <right style="thin">
        <color auto="1"/>
      </right>
      <top style="thin">
        <color indexed="64"/>
      </top>
      <bottom/>
      <diagonal/>
    </border>
    <border>
      <left/>
      <right/>
      <top style="thin">
        <color indexed="64"/>
      </top>
      <bottom/>
      <diagonal/>
    </border>
    <border>
      <left style="thin">
        <color auto="1"/>
      </left>
      <right style="thin">
        <color indexed="64"/>
      </right>
      <top style="thin">
        <color indexed="64"/>
      </top>
      <bottom/>
      <diagonal/>
    </border>
    <border>
      <left style="thin">
        <color indexed="64"/>
      </left>
      <right style="thin">
        <color auto="1"/>
      </right>
      <top/>
      <bottom style="thin">
        <color auto="1"/>
      </bottom>
      <diagonal/>
    </border>
    <border>
      <left style="thin">
        <color auto="1"/>
      </left>
      <right style="thin">
        <color indexed="64"/>
      </right>
      <top/>
      <bottom style="thin">
        <color auto="1"/>
      </bottom>
      <diagonal/>
    </border>
    <border>
      <left style="thin">
        <color indexed="64"/>
      </left>
      <right/>
      <top/>
      <bottom/>
      <diagonal/>
    </border>
    <border>
      <left style="thin">
        <color auto="1"/>
      </left>
      <right style="thin">
        <color indexed="64"/>
      </right>
      <top/>
      <bottom/>
      <diagonal/>
    </border>
    <border>
      <left style="thin">
        <color auto="1"/>
      </left>
      <right/>
      <top style="thin">
        <color auto="1"/>
      </top>
      <bottom style="thin">
        <color indexed="64"/>
      </bottom>
      <diagonal/>
    </border>
    <border>
      <left style="thin">
        <color auto="1"/>
      </left>
      <right style="thin">
        <color indexed="64"/>
      </right>
      <top style="thin">
        <color auto="1"/>
      </top>
      <bottom style="thin">
        <color indexed="64"/>
      </bottom>
      <diagonal/>
    </border>
    <border>
      <left/>
      <right style="thin">
        <color indexed="64"/>
      </right>
      <top/>
      <bottom/>
      <diagonal/>
    </border>
  </borders>
  <cellStyleXfs count="63">
    <xf numFmtId="0" fontId="0" fillId="0" borderId="0"/>
    <xf numFmtId="0" fontId="3" fillId="0" borderId="0" applyNumberFormat="0" applyFill="0" applyBorder="0" applyAlignment="0" applyProtection="0"/>
    <xf numFmtId="0" fontId="4" fillId="0" borderId="1" applyNumberFormat="0" applyFill="0" applyAlignment="0" applyProtection="0"/>
    <xf numFmtId="0" fontId="5" fillId="0" borderId="2" applyNumberFormat="0" applyFill="0" applyAlignment="0" applyProtection="0"/>
    <xf numFmtId="0" fontId="6" fillId="0" borderId="3" applyNumberFormat="0" applyFill="0" applyAlignment="0" applyProtection="0"/>
    <xf numFmtId="0" fontId="6" fillId="0" borderId="0" applyNumberFormat="0" applyFill="0" applyBorder="0" applyAlignment="0" applyProtection="0"/>
    <xf numFmtId="0" fontId="7" fillId="2" borderId="0" applyNumberFormat="0" applyBorder="0" applyAlignment="0" applyProtection="0"/>
    <xf numFmtId="0" fontId="8" fillId="3" borderId="0" applyNumberFormat="0" applyBorder="0" applyAlignment="0" applyProtection="0"/>
    <xf numFmtId="0" fontId="9" fillId="4" borderId="0" applyNumberFormat="0" applyBorder="0" applyAlignment="0" applyProtection="0"/>
    <xf numFmtId="0" fontId="10" fillId="5" borderId="4" applyNumberFormat="0" applyAlignment="0" applyProtection="0"/>
    <xf numFmtId="0" fontId="11" fillId="6" borderId="5" applyNumberFormat="0" applyAlignment="0" applyProtection="0"/>
    <xf numFmtId="0" fontId="12" fillId="6" borderId="4" applyNumberFormat="0" applyAlignment="0" applyProtection="0"/>
    <xf numFmtId="0" fontId="13" fillId="0" borderId="6" applyNumberFormat="0" applyFill="0" applyAlignment="0" applyProtection="0"/>
    <xf numFmtId="0" fontId="14" fillId="7" borderId="7" applyNumberFormat="0" applyAlignment="0" applyProtection="0"/>
    <xf numFmtId="0" fontId="15" fillId="0" borderId="0" applyNumberFormat="0" applyFill="0" applyBorder="0" applyAlignment="0" applyProtection="0"/>
    <xf numFmtId="0" fontId="2" fillId="8" borderId="8" applyNumberFormat="0" applyFont="0" applyAlignment="0" applyProtection="0"/>
    <xf numFmtId="0" fontId="16" fillId="0" borderId="0" applyNumberFormat="0" applyFill="0" applyBorder="0" applyAlignment="0" applyProtection="0"/>
    <xf numFmtId="0" fontId="17" fillId="0" borderId="9" applyNumberFormat="0" applyFill="0" applyAlignment="0" applyProtection="0"/>
    <xf numFmtId="0" fontId="18" fillId="9"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18" fillId="13" borderId="0" applyNumberFormat="0" applyBorder="0" applyAlignment="0" applyProtection="0"/>
    <xf numFmtId="0" fontId="2"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18" fillId="17" borderId="0" applyNumberFormat="0" applyBorder="0" applyAlignment="0" applyProtection="0"/>
    <xf numFmtId="0" fontId="2"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18" fillId="21" borderId="0" applyNumberFormat="0" applyBorder="0" applyAlignment="0" applyProtection="0"/>
    <xf numFmtId="0" fontId="2"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18" fillId="25" borderId="0" applyNumberFormat="0" applyBorder="0" applyAlignment="0" applyProtection="0"/>
    <xf numFmtId="0" fontId="2"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18" fillId="29" borderId="0" applyNumberFormat="0" applyBorder="0" applyAlignment="0" applyProtection="0"/>
    <xf numFmtId="0" fontId="2"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164" fontId="19" fillId="0" borderId="0">
      <alignment horizontal="right" wrapText="1"/>
    </xf>
    <xf numFmtId="0" fontId="27" fillId="4" borderId="0" applyNumberFormat="0" applyBorder="0" applyAlignment="0" applyProtection="0"/>
    <xf numFmtId="0" fontId="1" fillId="8" borderId="8" applyNumberFormat="0" applyFont="0" applyAlignment="0" applyProtection="0"/>
    <xf numFmtId="0" fontId="1" fillId="10" borderId="0" applyNumberFormat="0" applyBorder="0" applyAlignment="0" applyProtection="0"/>
    <xf numFmtId="0" fontId="1" fillId="11" borderId="0" applyNumberFormat="0" applyBorder="0" applyAlignment="0" applyProtection="0"/>
    <xf numFmtId="0" fontId="18" fillId="12"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8" fillId="16"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8" fillId="20"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8" fillId="24"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8" fillId="28"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8" fillId="32" borderId="0" applyNumberFormat="0" applyBorder="0" applyAlignment="0" applyProtection="0"/>
  </cellStyleXfs>
  <cellXfs count="106">
    <xf numFmtId="0" fontId="0" fillId="0" borderId="0" xfId="0"/>
    <xf numFmtId="0" fontId="20" fillId="0" borderId="0" xfId="0" applyFont="1" applyAlignment="1">
      <alignment horizontal="center"/>
    </xf>
    <xf numFmtId="0" fontId="20" fillId="0" borderId="0" xfId="0" applyFont="1"/>
    <xf numFmtId="49" fontId="20" fillId="0" borderId="0" xfId="0" applyNumberFormat="1" applyFont="1" applyAlignment="1">
      <alignment horizontal="center" wrapText="1"/>
    </xf>
    <xf numFmtId="0" fontId="21" fillId="0" borderId="0" xfId="0" applyFont="1" applyAlignment="1">
      <alignment horizontal="centerContinuous"/>
    </xf>
    <xf numFmtId="0" fontId="20" fillId="0" borderId="0" xfId="0" applyFont="1" applyAlignment="1">
      <alignment horizontal="centerContinuous"/>
    </xf>
    <xf numFmtId="49" fontId="20" fillId="0" borderId="0" xfId="0" applyNumberFormat="1" applyFont="1" applyAlignment="1">
      <alignment horizontal="centerContinuous" wrapText="1"/>
    </xf>
    <xf numFmtId="0" fontId="22" fillId="0" borderId="0" xfId="0" applyFont="1" applyAlignment="1">
      <alignment horizontal="centerContinuous"/>
    </xf>
    <xf numFmtId="0" fontId="23" fillId="0" borderId="0" xfId="0" applyFont="1" applyAlignment="1">
      <alignment horizontal="center"/>
    </xf>
    <xf numFmtId="49" fontId="23" fillId="0" borderId="0" xfId="0" applyNumberFormat="1" applyFont="1" applyAlignment="1">
      <alignment horizontal="center" wrapText="1"/>
    </xf>
    <xf numFmtId="49" fontId="0" fillId="0" borderId="0" xfId="0" applyNumberFormat="1" applyFill="1" applyAlignment="1">
      <alignment horizontal="center" vertical="center"/>
    </xf>
    <xf numFmtId="0" fontId="0" fillId="0" borderId="0" xfId="0" applyAlignment="1">
      <alignment vertical="center"/>
    </xf>
    <xf numFmtId="0" fontId="19" fillId="0" borderId="0" xfId="0" applyFont="1" applyAlignment="1">
      <alignment vertical="center" wrapText="1"/>
    </xf>
    <xf numFmtId="0" fontId="19" fillId="0" borderId="0" xfId="0" applyFont="1" applyAlignment="1">
      <alignment horizontal="left" vertical="center" wrapText="1"/>
    </xf>
    <xf numFmtId="49" fontId="20" fillId="0" borderId="0" xfId="0" applyNumberFormat="1" applyFont="1" applyAlignment="1">
      <alignment horizontal="center" vertical="center" wrapText="1"/>
    </xf>
    <xf numFmtId="0" fontId="24" fillId="0" borderId="0" xfId="0" applyFont="1" applyAlignment="1">
      <alignment vertical="top" wrapText="1"/>
    </xf>
    <xf numFmtId="0" fontId="19" fillId="0" borderId="0" xfId="0" applyFont="1" applyAlignment="1">
      <alignment vertical="top" wrapText="1"/>
    </xf>
    <xf numFmtId="0" fontId="24" fillId="0" borderId="0" xfId="0" applyFont="1" applyBorder="1" applyAlignment="1">
      <alignment horizontal="centerContinuous" vertical="top" wrapText="1"/>
    </xf>
    <xf numFmtId="0" fontId="19" fillId="0" borderId="0" xfId="0" applyFont="1" applyBorder="1" applyAlignment="1">
      <alignment horizontal="centerContinuous" vertical="top" wrapText="1"/>
    </xf>
    <xf numFmtId="164" fontId="19" fillId="0" borderId="11" xfId="0" applyNumberFormat="1" applyFont="1" applyBorder="1" applyAlignment="1">
      <alignment horizontal="center" vertical="center" wrapText="1"/>
    </xf>
    <xf numFmtId="164" fontId="19" fillId="0" borderId="13" xfId="0" applyNumberFormat="1" applyFont="1" applyBorder="1" applyAlignment="1">
      <alignment horizontal="right" vertical="top" wrapText="1"/>
    </xf>
    <xf numFmtId="0" fontId="26" fillId="0" borderId="0" xfId="0" applyFont="1" applyAlignment="1">
      <alignment vertical="top" wrapText="1"/>
    </xf>
    <xf numFmtId="164" fontId="19" fillId="0" borderId="0" xfId="42">
      <alignment horizontal="right" wrapText="1"/>
    </xf>
    <xf numFmtId="164" fontId="24" fillId="0" borderId="14" xfId="42" applyFont="1" applyBorder="1">
      <alignment horizontal="right" wrapText="1"/>
    </xf>
    <xf numFmtId="164" fontId="24" fillId="0" borderId="15" xfId="42" applyFont="1" applyBorder="1">
      <alignment horizontal="right" wrapText="1"/>
    </xf>
    <xf numFmtId="164" fontId="24" fillId="0" borderId="16" xfId="42" applyFont="1" applyBorder="1" applyAlignment="1">
      <alignment horizontal="left"/>
    </xf>
    <xf numFmtId="164" fontId="19" fillId="0" borderId="0" xfId="42" applyAlignment="1">
      <alignment horizontal="left" indent="1"/>
    </xf>
    <xf numFmtId="164" fontId="24" fillId="0" borderId="0" xfId="42" applyFont="1" applyAlignment="1">
      <alignment horizontal="left" wrapText="1"/>
    </xf>
    <xf numFmtId="164" fontId="19" fillId="0" borderId="15" xfId="42" applyFont="1" applyBorder="1" applyAlignment="1">
      <alignment horizontal="center" vertical="center" wrapText="1"/>
    </xf>
    <xf numFmtId="0" fontId="29" fillId="33" borderId="0" xfId="0" applyFont="1" applyFill="1" applyAlignment="1"/>
    <xf numFmtId="0" fontId="28" fillId="33" borderId="0" xfId="0" applyFont="1" applyFill="1" applyAlignment="1">
      <alignment horizontal="center" vertical="top"/>
    </xf>
    <xf numFmtId="0" fontId="30" fillId="33" borderId="0" xfId="0" quotePrefix="1" applyFont="1" applyFill="1" applyAlignment="1">
      <alignment horizontal="justify" vertical="center"/>
    </xf>
    <xf numFmtId="0" fontId="0" fillId="0" borderId="0" xfId="0"/>
    <xf numFmtId="0" fontId="20" fillId="0" borderId="0" xfId="0" applyFont="1"/>
    <xf numFmtId="49" fontId="20" fillId="0" borderId="0" xfId="0" applyNumberFormat="1" applyFont="1" applyAlignment="1">
      <alignment horizontal="center" wrapText="1"/>
    </xf>
    <xf numFmtId="0" fontId="30" fillId="33" borderId="0" xfId="0" quotePrefix="1" applyFont="1" applyFill="1" applyAlignment="1">
      <alignment horizontal="justify" vertical="center"/>
    </xf>
    <xf numFmtId="0" fontId="28" fillId="33" borderId="0" xfId="0" quotePrefix="1" applyFont="1" applyFill="1"/>
    <xf numFmtId="0" fontId="19" fillId="0" borderId="15" xfId="0" applyFont="1" applyBorder="1" applyAlignment="1">
      <alignment horizontal="centerContinuous" vertical="center" wrapText="1"/>
    </xf>
    <xf numFmtId="164" fontId="19" fillId="0" borderId="15" xfId="0" applyNumberFormat="1" applyFont="1" applyBorder="1" applyAlignment="1">
      <alignment horizontal="center" vertical="center" wrapText="1"/>
    </xf>
    <xf numFmtId="164" fontId="24" fillId="0" borderId="15" xfId="0" applyNumberFormat="1" applyFont="1" applyBorder="1" applyAlignment="1">
      <alignment horizontal="right" vertical="top" wrapText="1"/>
    </xf>
    <xf numFmtId="165" fontId="24" fillId="0" borderId="15" xfId="0" applyNumberFormat="1" applyFont="1" applyBorder="1" applyAlignment="1">
      <alignment horizontal="right" vertical="top" wrapText="1"/>
    </xf>
    <xf numFmtId="0" fontId="19" fillId="0" borderId="27" xfId="0" applyFont="1" applyBorder="1" applyAlignment="1">
      <alignment horizontal="centerContinuous" vertical="center" wrapText="1"/>
    </xf>
    <xf numFmtId="0" fontId="19" fillId="0" borderId="31" xfId="0" applyFont="1" applyBorder="1" applyAlignment="1">
      <alignment horizontal="left" vertical="top" wrapText="1"/>
    </xf>
    <xf numFmtId="164" fontId="19" fillId="0" borderId="32" xfId="0" applyNumberFormat="1" applyFont="1" applyBorder="1" applyAlignment="1">
      <alignment horizontal="right" vertical="top" wrapText="1"/>
    </xf>
    <xf numFmtId="0" fontId="24" fillId="0" borderId="17" xfId="0" applyFont="1" applyBorder="1" applyAlignment="1">
      <alignment horizontal="left" vertical="top" wrapText="1"/>
    </xf>
    <xf numFmtId="164" fontId="24" fillId="0" borderId="33" xfId="0" applyNumberFormat="1" applyFont="1" applyBorder="1" applyAlignment="1">
      <alignment horizontal="right" vertical="top" wrapText="1"/>
    </xf>
    <xf numFmtId="165" fontId="24" fillId="0" borderId="34" xfId="0" applyNumberFormat="1" applyFont="1" applyBorder="1" applyAlignment="1">
      <alignment horizontal="right" vertical="top" wrapText="1"/>
    </xf>
    <xf numFmtId="2" fontId="0" fillId="0" borderId="0" xfId="0" applyNumberFormat="1"/>
    <xf numFmtId="0" fontId="24" fillId="0" borderId="17" xfId="0" applyFont="1" applyBorder="1" applyAlignment="1">
      <alignment horizontal="left" vertical="top" wrapText="1" indent="1"/>
    </xf>
    <xf numFmtId="0" fontId="24" fillId="0" borderId="0" xfId="0" applyFont="1" applyAlignment="1">
      <alignment horizontal="left" wrapText="1"/>
    </xf>
    <xf numFmtId="0" fontId="0" fillId="0" borderId="0" xfId="0" applyAlignment="1">
      <alignment horizontal="right" wrapText="1"/>
    </xf>
    <xf numFmtId="164" fontId="24" fillId="0" borderId="34" xfId="0" applyNumberFormat="1" applyFont="1" applyBorder="1" applyAlignment="1">
      <alignment horizontal="right" vertical="top" wrapText="1"/>
    </xf>
    <xf numFmtId="0" fontId="20" fillId="0" borderId="0" xfId="0" applyFont="1" applyBorder="1" applyAlignment="1">
      <alignment horizontal="right"/>
    </xf>
    <xf numFmtId="0" fontId="20" fillId="0" borderId="35" xfId="0" applyFont="1" applyBorder="1" applyAlignment="1">
      <alignment horizontal="right"/>
    </xf>
    <xf numFmtId="2" fontId="20" fillId="0" borderId="35" xfId="0" applyNumberFormat="1" applyFont="1" applyBorder="1" applyAlignment="1">
      <alignment horizontal="right"/>
    </xf>
    <xf numFmtId="0" fontId="23" fillId="0" borderId="0" xfId="0" applyFont="1" applyAlignment="1">
      <alignment vertical="top" wrapText="1"/>
    </xf>
    <xf numFmtId="0" fontId="20" fillId="0" borderId="34" xfId="0" applyFont="1" applyBorder="1" applyAlignment="1">
      <alignment horizontal="center" vertical="center" wrapText="1"/>
    </xf>
    <xf numFmtId="0" fontId="20" fillId="0" borderId="31" xfId="0" applyFont="1" applyBorder="1" applyAlignment="1">
      <alignment horizontal="left" wrapText="1"/>
    </xf>
    <xf numFmtId="164" fontId="20" fillId="0" borderId="31" xfId="0" applyNumberFormat="1" applyFont="1" applyBorder="1" applyAlignment="1">
      <alignment horizontal="right" wrapText="1"/>
    </xf>
    <xf numFmtId="165" fontId="20" fillId="0" borderId="31" xfId="0" applyNumberFormat="1" applyFont="1" applyBorder="1" applyAlignment="1">
      <alignment horizontal="right" wrapText="1"/>
    </xf>
    <xf numFmtId="164" fontId="20" fillId="0" borderId="32" xfId="0" applyNumberFormat="1" applyFont="1" applyBorder="1" applyAlignment="1">
      <alignment horizontal="right" wrapText="1"/>
    </xf>
    <xf numFmtId="0" fontId="20" fillId="0" borderId="0" xfId="0" applyFont="1" applyAlignment="1">
      <alignment horizontal="left" wrapText="1" indent="1"/>
    </xf>
    <xf numFmtId="0" fontId="20" fillId="0" borderId="16" xfId="0" applyFont="1" applyBorder="1" applyAlignment="1">
      <alignment horizontal="left" wrapText="1" indent="1"/>
    </xf>
    <xf numFmtId="164" fontId="20" fillId="0" borderId="34" xfId="0" applyNumberFormat="1" applyFont="1" applyBorder="1" applyAlignment="1">
      <alignment horizontal="right" wrapText="1"/>
    </xf>
    <xf numFmtId="164" fontId="20" fillId="0" borderId="33" xfId="0" applyNumberFormat="1" applyFont="1" applyBorder="1" applyAlignment="1">
      <alignment horizontal="right" wrapText="1"/>
    </xf>
    <xf numFmtId="0" fontId="24" fillId="0" borderId="34" xfId="0" applyNumberFormat="1" applyFont="1" applyBorder="1" applyAlignment="1">
      <alignment horizontal="right" vertical="top" wrapText="1"/>
    </xf>
    <xf numFmtId="3" fontId="24" fillId="0" borderId="34" xfId="0" applyNumberFormat="1" applyFont="1" applyBorder="1" applyAlignment="1">
      <alignment horizontal="right" vertical="top" wrapText="1"/>
    </xf>
    <xf numFmtId="1" fontId="24" fillId="0" borderId="0" xfId="0" applyNumberFormat="1" applyFont="1" applyBorder="1" applyAlignment="1">
      <alignment horizontal="right" vertical="top" wrapText="1"/>
    </xf>
    <xf numFmtId="0" fontId="0" fillId="0" borderId="0" xfId="0" applyBorder="1"/>
    <xf numFmtId="49" fontId="19" fillId="0" borderId="32" xfId="0" applyNumberFormat="1" applyFont="1" applyBorder="1" applyAlignment="1">
      <alignment horizontal="right" vertical="top" wrapText="1"/>
    </xf>
    <xf numFmtId="49" fontId="19" fillId="0" borderId="13" xfId="0" applyNumberFormat="1" applyFont="1" applyBorder="1" applyAlignment="1">
      <alignment horizontal="right" vertical="top" wrapText="1"/>
    </xf>
    <xf numFmtId="0" fontId="28" fillId="33" borderId="0" xfId="0" applyFont="1" applyFill="1" applyAlignment="1">
      <alignment horizontal="left" vertical="center" wrapText="1"/>
    </xf>
    <xf numFmtId="0" fontId="29" fillId="33" borderId="0" xfId="0" applyFont="1" applyFill="1" applyAlignment="1">
      <alignment horizontal="center"/>
    </xf>
    <xf numFmtId="0" fontId="28" fillId="33" borderId="0" xfId="0" quotePrefix="1" applyFont="1" applyFill="1" applyAlignment="1">
      <alignment horizontal="left" vertical="center" wrapText="1"/>
    </xf>
    <xf numFmtId="164" fontId="24" fillId="0" borderId="0" xfId="42" applyFont="1" applyAlignment="1">
      <alignment horizontal="center" vertical="center" wrapText="1"/>
    </xf>
    <xf numFmtId="164" fontId="19" fillId="0" borderId="0" xfId="42" applyFont="1" applyAlignment="1">
      <alignment horizontal="center" vertical="center" wrapText="1"/>
    </xf>
    <xf numFmtId="164" fontId="19" fillId="0" borderId="24" xfId="42" applyFont="1" applyBorder="1" applyAlignment="1">
      <alignment horizontal="center" vertical="center" wrapText="1"/>
    </xf>
    <xf numFmtId="164" fontId="19" fillId="0" borderId="19" xfId="42" applyFont="1" applyBorder="1" applyAlignment="1">
      <alignment horizontal="center" vertical="center" wrapText="1"/>
    </xf>
    <xf numFmtId="164" fontId="19" fillId="0" borderId="21" xfId="42" applyFont="1" applyBorder="1" applyAlignment="1">
      <alignment horizontal="center" vertical="center" wrapText="1"/>
    </xf>
    <xf numFmtId="164" fontId="19" fillId="0" borderId="18" xfId="42" applyFont="1" applyBorder="1" applyAlignment="1">
      <alignment horizontal="center" vertical="center" wrapText="1"/>
    </xf>
    <xf numFmtId="164" fontId="19" fillId="0" borderId="14" xfId="42" applyFont="1" applyBorder="1" applyAlignment="1">
      <alignment horizontal="center" vertical="center" wrapText="1"/>
    </xf>
    <xf numFmtId="164" fontId="19" fillId="0" borderId="23" xfId="42" applyFont="1" applyBorder="1" applyAlignment="1">
      <alignment horizontal="center" vertical="center" wrapText="1"/>
    </xf>
    <xf numFmtId="164" fontId="19" fillId="0" borderId="22" xfId="42" applyFont="1" applyBorder="1" applyAlignment="1">
      <alignment horizontal="center" vertical="center" wrapText="1"/>
    </xf>
    <xf numFmtId="164" fontId="19" fillId="0" borderId="20" xfId="42" applyFont="1" applyBorder="1" applyAlignment="1">
      <alignment horizontal="center" vertical="center" wrapText="1"/>
    </xf>
    <xf numFmtId="164" fontId="19" fillId="0" borderId="17" xfId="42" applyFont="1" applyBorder="1" applyAlignment="1">
      <alignment horizontal="center" vertical="center" wrapText="1"/>
    </xf>
    <xf numFmtId="0" fontId="20" fillId="0" borderId="27" xfId="0" applyFont="1" applyBorder="1" applyAlignment="1">
      <alignment horizontal="left" wrapText="1"/>
    </xf>
    <xf numFmtId="0" fontId="25" fillId="0" borderId="0" xfId="0" applyFont="1" applyAlignment="1">
      <alignment horizontal="left" wrapText="1"/>
    </xf>
    <xf numFmtId="0" fontId="24" fillId="0" borderId="0" xfId="0" applyFont="1" applyAlignment="1">
      <alignment horizontal="center" vertical="center" wrapText="1"/>
    </xf>
    <xf numFmtId="0" fontId="0" fillId="0" borderId="0" xfId="0" applyFont="1" applyAlignment="1">
      <alignment horizontal="center" vertical="center" wrapText="1"/>
    </xf>
    <xf numFmtId="0" fontId="20" fillId="0" borderId="28" xfId="0" applyFont="1" applyBorder="1" applyAlignment="1">
      <alignment horizontal="center" vertical="center" wrapText="1"/>
    </xf>
    <xf numFmtId="0" fontId="20" fillId="0" borderId="32"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3"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2" xfId="0" applyFont="1" applyBorder="1" applyAlignment="1">
      <alignment horizontal="center" vertical="center" wrapText="1"/>
    </xf>
    <xf numFmtId="164" fontId="19" fillId="0" borderId="25" xfId="0" applyNumberFormat="1" applyFont="1" applyBorder="1" applyAlignment="1">
      <alignment horizontal="center" vertical="center" wrapText="1"/>
    </xf>
    <xf numFmtId="164" fontId="19" fillId="0" borderId="29" xfId="0" applyNumberFormat="1" applyFont="1" applyBorder="1" applyAlignment="1">
      <alignment horizontal="center" vertical="center" wrapText="1"/>
    </xf>
    <xf numFmtId="164" fontId="19" fillId="0" borderId="26" xfId="0" applyNumberFormat="1" applyFont="1" applyBorder="1" applyAlignment="1">
      <alignment horizontal="center" vertical="center" wrapText="1"/>
    </xf>
    <xf numFmtId="164" fontId="19" fillId="0" borderId="12" xfId="0" applyNumberFormat="1" applyFont="1" applyBorder="1" applyAlignment="1">
      <alignment horizontal="center" vertical="center" wrapText="1"/>
    </xf>
    <xf numFmtId="164" fontId="19" fillId="0" borderId="28" xfId="0" applyNumberFormat="1" applyFont="1" applyBorder="1" applyAlignment="1">
      <alignment horizontal="center" vertical="center" wrapText="1"/>
    </xf>
    <xf numFmtId="164" fontId="19" fillId="0" borderId="30" xfId="0" applyNumberFormat="1" applyFont="1" applyBorder="1" applyAlignment="1">
      <alignment horizontal="center" vertical="center" wrapText="1"/>
    </xf>
    <xf numFmtId="49" fontId="19" fillId="0" borderId="0" xfId="0" applyNumberFormat="1" applyFont="1" applyBorder="1" applyAlignment="1">
      <alignment vertical="top" wrapText="1"/>
    </xf>
    <xf numFmtId="49" fontId="19" fillId="0" borderId="0" xfId="0" applyNumberFormat="1" applyFont="1" applyAlignment="1">
      <alignment vertical="top" wrapText="1"/>
    </xf>
    <xf numFmtId="49" fontId="25" fillId="0" borderId="0" xfId="0" applyNumberFormat="1" applyFont="1" applyAlignment="1">
      <alignment vertical="top" wrapText="1"/>
    </xf>
    <xf numFmtId="164" fontId="19" fillId="0" borderId="15" xfId="0" applyNumberFormat="1" applyFont="1" applyBorder="1" applyAlignment="1">
      <alignment horizontal="center" vertical="center" wrapText="1"/>
    </xf>
    <xf numFmtId="49" fontId="19" fillId="0" borderId="10" xfId="0" applyNumberFormat="1" applyFont="1" applyBorder="1" applyAlignment="1">
      <alignment vertical="top" wrapText="1"/>
    </xf>
  </cellXfs>
  <cellStyles count="63">
    <cellStyle name="20% - Accent1" xfId="19" builtinId="30" customBuiltin="1"/>
    <cellStyle name="20% - Accent1 2" xfId="45" xr:uid="{00000000-0005-0000-0000-000001000000}"/>
    <cellStyle name="20% - Accent2" xfId="23" builtinId="34" customBuiltin="1"/>
    <cellStyle name="20% - Accent2 2" xfId="48" xr:uid="{00000000-0005-0000-0000-000003000000}"/>
    <cellStyle name="20% - Accent3" xfId="27" builtinId="38" customBuiltin="1"/>
    <cellStyle name="20% - Accent3 2" xfId="51" xr:uid="{00000000-0005-0000-0000-000005000000}"/>
    <cellStyle name="20% - Accent4" xfId="31" builtinId="42" customBuiltin="1"/>
    <cellStyle name="20% - Accent4 2" xfId="54" xr:uid="{00000000-0005-0000-0000-000007000000}"/>
    <cellStyle name="20% - Accent5" xfId="35" builtinId="46" customBuiltin="1"/>
    <cellStyle name="20% - Accent5 2" xfId="57" xr:uid="{00000000-0005-0000-0000-000009000000}"/>
    <cellStyle name="20% - Accent6" xfId="39" builtinId="50" customBuiltin="1"/>
    <cellStyle name="20% - Accent6 2" xfId="60" xr:uid="{00000000-0005-0000-0000-00000B000000}"/>
    <cellStyle name="40% - Accent1" xfId="20" builtinId="31" customBuiltin="1"/>
    <cellStyle name="40% - Accent1 2" xfId="46" xr:uid="{00000000-0005-0000-0000-00000D000000}"/>
    <cellStyle name="40% - Accent2" xfId="24" builtinId="35" customBuiltin="1"/>
    <cellStyle name="40% - Accent2 2" xfId="49" xr:uid="{00000000-0005-0000-0000-00000F000000}"/>
    <cellStyle name="40% - Accent3" xfId="28" builtinId="39" customBuiltin="1"/>
    <cellStyle name="40% - Accent3 2" xfId="52" xr:uid="{00000000-0005-0000-0000-000011000000}"/>
    <cellStyle name="40% - Accent4" xfId="32" builtinId="43" customBuiltin="1"/>
    <cellStyle name="40% - Accent4 2" xfId="55" xr:uid="{00000000-0005-0000-0000-000013000000}"/>
    <cellStyle name="40% - Accent5" xfId="36" builtinId="47" customBuiltin="1"/>
    <cellStyle name="40% - Accent5 2" xfId="58" xr:uid="{00000000-0005-0000-0000-000015000000}"/>
    <cellStyle name="40% - Accent6" xfId="40" builtinId="51" customBuiltin="1"/>
    <cellStyle name="40% - Accent6 2" xfId="61" xr:uid="{00000000-0005-0000-0000-000017000000}"/>
    <cellStyle name="60% - Accent1" xfId="21" builtinId="32" customBuiltin="1"/>
    <cellStyle name="60% - Accent1 2" xfId="47" xr:uid="{00000000-0005-0000-0000-000019000000}"/>
    <cellStyle name="60% - Accent2" xfId="25" builtinId="36" customBuiltin="1"/>
    <cellStyle name="60% - Accent2 2" xfId="50" xr:uid="{00000000-0005-0000-0000-00001B000000}"/>
    <cellStyle name="60% - Accent3" xfId="29" builtinId="40" customBuiltin="1"/>
    <cellStyle name="60% - Accent3 2" xfId="53" xr:uid="{00000000-0005-0000-0000-00001D000000}"/>
    <cellStyle name="60% - Accent4" xfId="33" builtinId="44" customBuiltin="1"/>
    <cellStyle name="60% - Accent4 2" xfId="56" xr:uid="{00000000-0005-0000-0000-00001F000000}"/>
    <cellStyle name="60% - Accent5" xfId="37" builtinId="48" customBuiltin="1"/>
    <cellStyle name="60% - Accent5 2" xfId="59" xr:uid="{00000000-0005-0000-0000-000021000000}"/>
    <cellStyle name="60% - Accent6" xfId="41" builtinId="52" customBuiltin="1"/>
    <cellStyle name="60% - Accent6 2" xfId="62" xr:uid="{00000000-0005-0000-0000-000023000000}"/>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eutral 2" xfId="43" xr:uid="{00000000-0005-0000-0000-000036000000}"/>
    <cellStyle name="Normal" xfId="0" builtinId="0" customBuiltin="1"/>
    <cellStyle name="Normal 2" xfId="42" xr:uid="{00000000-0005-0000-0000-000038000000}"/>
    <cellStyle name="Note" xfId="15" builtinId="10" customBuiltin="1"/>
    <cellStyle name="Note 2" xfId="44" xr:uid="{00000000-0005-0000-0000-00003A000000}"/>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4"/>
  <sheetViews>
    <sheetView tabSelected="1" workbookViewId="0"/>
  </sheetViews>
  <sheetFormatPr defaultRowHeight="12.75" x14ac:dyDescent="0.2"/>
  <cols>
    <col min="2" max="2" width="147.42578125" customWidth="1"/>
  </cols>
  <sheetData>
    <row r="1" spans="1:2" ht="15" customHeight="1" x14ac:dyDescent="0.25">
      <c r="A1" s="29"/>
      <c r="B1" s="29"/>
    </row>
    <row r="2" spans="1:2" ht="15.75" customHeight="1" x14ac:dyDescent="0.25">
      <c r="A2" s="72" t="s">
        <v>322</v>
      </c>
      <c r="B2" s="72"/>
    </row>
    <row r="3" spans="1:2" ht="15" customHeight="1" x14ac:dyDescent="0.25">
      <c r="A3" s="29"/>
      <c r="B3" s="29"/>
    </row>
    <row r="4" spans="1:2" ht="84" customHeight="1" x14ac:dyDescent="0.2">
      <c r="A4" s="71" t="s">
        <v>686</v>
      </c>
      <c r="B4" s="71"/>
    </row>
    <row r="5" spans="1:2" ht="15" customHeight="1" x14ac:dyDescent="0.25">
      <c r="A5" s="29"/>
      <c r="B5" s="29"/>
    </row>
    <row r="6" spans="1:2" ht="42.75" customHeight="1" x14ac:dyDescent="0.2">
      <c r="A6" s="73" t="s">
        <v>684</v>
      </c>
      <c r="B6" s="73"/>
    </row>
    <row r="7" spans="1:2" ht="15" customHeight="1" x14ac:dyDescent="0.25">
      <c r="A7" s="29"/>
      <c r="B7" s="29"/>
    </row>
    <row r="8" spans="1:2" ht="15" x14ac:dyDescent="0.2">
      <c r="A8" s="30" t="s">
        <v>313</v>
      </c>
      <c r="B8" s="31" t="s">
        <v>314</v>
      </c>
    </row>
    <row r="9" spans="1:2" ht="15" x14ac:dyDescent="0.2">
      <c r="A9" s="30" t="s">
        <v>315</v>
      </c>
      <c r="B9" s="35" t="s">
        <v>316</v>
      </c>
    </row>
    <row r="10" spans="1:2" ht="15" customHeight="1" x14ac:dyDescent="0.2">
      <c r="A10" s="30" t="s">
        <v>317</v>
      </c>
      <c r="B10" s="36" t="s">
        <v>318</v>
      </c>
    </row>
    <row r="11" spans="1:2" ht="30" x14ac:dyDescent="0.2">
      <c r="A11" s="30" t="s">
        <v>319</v>
      </c>
      <c r="B11" s="35" t="s">
        <v>323</v>
      </c>
    </row>
    <row r="12" spans="1:2" ht="30" x14ac:dyDescent="0.2">
      <c r="A12" s="30" t="s">
        <v>320</v>
      </c>
      <c r="B12" s="35" t="s">
        <v>675</v>
      </c>
    </row>
    <row r="13" spans="1:2" ht="15" x14ac:dyDescent="0.2">
      <c r="A13" s="30" t="s">
        <v>321</v>
      </c>
      <c r="B13" s="35" t="s">
        <v>324</v>
      </c>
    </row>
    <row r="14" spans="1:2" ht="16.5" customHeight="1" x14ac:dyDescent="0.2">
      <c r="A14" s="30"/>
      <c r="B14" s="35"/>
    </row>
  </sheetData>
  <mergeCells count="3">
    <mergeCell ref="A4:B4"/>
    <mergeCell ref="A2:B2"/>
    <mergeCell ref="A6:B6"/>
  </mergeCell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208</v>
      </c>
      <c r="B1" s="16"/>
      <c r="C1" s="16"/>
      <c r="D1" s="16"/>
      <c r="E1" s="16"/>
      <c r="F1" s="16"/>
      <c r="G1" s="15" t="s">
        <v>23</v>
      </c>
    </row>
    <row r="2" spans="1:7" x14ac:dyDescent="0.2">
      <c r="A2" s="17" t="s">
        <v>330</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68298</v>
      </c>
      <c r="C6" s="20">
        <v>0</v>
      </c>
      <c r="D6" s="20">
        <v>69023</v>
      </c>
      <c r="E6" s="20">
        <v>0</v>
      </c>
      <c r="F6" s="20">
        <v>69023</v>
      </c>
      <c r="G6" s="43">
        <v>69949</v>
      </c>
    </row>
    <row r="7" spans="1:7" x14ac:dyDescent="0.2">
      <c r="A7" s="42" t="s">
        <v>146</v>
      </c>
      <c r="B7" s="20">
        <v>11173</v>
      </c>
      <c r="C7" s="20">
        <v>0</v>
      </c>
      <c r="D7" s="20">
        <v>11383</v>
      </c>
      <c r="E7" s="20">
        <v>0</v>
      </c>
      <c r="F7" s="20">
        <v>11383</v>
      </c>
      <c r="G7" s="43">
        <v>11518</v>
      </c>
    </row>
    <row r="8" spans="1:7" x14ac:dyDescent="0.2">
      <c r="A8" s="42" t="s">
        <v>147</v>
      </c>
      <c r="B8" s="20">
        <v>78878</v>
      </c>
      <c r="C8" s="20">
        <v>0</v>
      </c>
      <c r="D8" s="20">
        <v>81382</v>
      </c>
      <c r="E8" s="20">
        <v>0</v>
      </c>
      <c r="F8" s="20">
        <v>81382</v>
      </c>
      <c r="G8" s="43">
        <v>83617</v>
      </c>
    </row>
    <row r="9" spans="1:7" x14ac:dyDescent="0.2">
      <c r="A9" s="42" t="s">
        <v>148</v>
      </c>
      <c r="B9" s="20">
        <v>47031</v>
      </c>
      <c r="C9" s="20">
        <v>0</v>
      </c>
      <c r="D9" s="20">
        <v>41114</v>
      </c>
      <c r="E9" s="20">
        <v>0</v>
      </c>
      <c r="F9" s="20">
        <v>41114</v>
      </c>
      <c r="G9" s="43">
        <v>41977</v>
      </c>
    </row>
    <row r="10" spans="1:7" x14ac:dyDescent="0.2">
      <c r="A10" s="42" t="s">
        <v>149</v>
      </c>
      <c r="B10" s="20">
        <v>330346</v>
      </c>
      <c r="C10" s="20">
        <v>0</v>
      </c>
      <c r="D10" s="20">
        <v>296870</v>
      </c>
      <c r="E10" s="20">
        <v>0</v>
      </c>
      <c r="F10" s="20">
        <v>296870</v>
      </c>
      <c r="G10" s="43">
        <v>290988</v>
      </c>
    </row>
    <row r="11" spans="1:7" x14ac:dyDescent="0.2">
      <c r="A11" s="42" t="s">
        <v>150</v>
      </c>
      <c r="B11" s="20">
        <v>47719</v>
      </c>
      <c r="C11" s="20">
        <v>0</v>
      </c>
      <c r="D11" s="20">
        <v>48969</v>
      </c>
      <c r="E11" s="20">
        <v>0</v>
      </c>
      <c r="F11" s="20">
        <v>48969</v>
      </c>
      <c r="G11" s="43">
        <v>48751</v>
      </c>
    </row>
    <row r="12" spans="1:7" x14ac:dyDescent="0.2">
      <c r="A12" s="42" t="s">
        <v>151</v>
      </c>
      <c r="B12" s="20">
        <v>26226</v>
      </c>
      <c r="C12" s="20">
        <v>0</v>
      </c>
      <c r="D12" s="20">
        <v>22369</v>
      </c>
      <c r="E12" s="20">
        <v>0</v>
      </c>
      <c r="F12" s="20">
        <v>22369</v>
      </c>
      <c r="G12" s="43">
        <v>22521</v>
      </c>
    </row>
    <row r="13" spans="1:7" x14ac:dyDescent="0.2">
      <c r="A13" s="42" t="s">
        <v>152</v>
      </c>
      <c r="B13" s="20">
        <v>13713</v>
      </c>
      <c r="C13" s="20">
        <v>0</v>
      </c>
      <c r="D13" s="20">
        <v>11383</v>
      </c>
      <c r="E13" s="20">
        <v>0</v>
      </c>
      <c r="F13" s="20">
        <v>11383</v>
      </c>
      <c r="G13" s="43">
        <v>11518</v>
      </c>
    </row>
    <row r="14" spans="1:7" x14ac:dyDescent="0.2">
      <c r="A14" s="42" t="s">
        <v>153</v>
      </c>
      <c r="B14" s="20">
        <v>15362</v>
      </c>
      <c r="C14" s="20">
        <v>0</v>
      </c>
      <c r="D14" s="20">
        <v>15612</v>
      </c>
      <c r="E14" s="20">
        <v>0</v>
      </c>
      <c r="F14" s="20">
        <v>15612</v>
      </c>
      <c r="G14" s="43">
        <v>15837</v>
      </c>
    </row>
    <row r="15" spans="1:7" x14ac:dyDescent="0.2">
      <c r="A15" s="42" t="s">
        <v>154</v>
      </c>
      <c r="B15" s="20">
        <v>187340</v>
      </c>
      <c r="C15" s="20">
        <v>0</v>
      </c>
      <c r="D15" s="20">
        <v>215470</v>
      </c>
      <c r="E15" s="20">
        <v>0</v>
      </c>
      <c r="F15" s="20">
        <v>215470</v>
      </c>
      <c r="G15" s="43">
        <v>217444</v>
      </c>
    </row>
    <row r="16" spans="1:7" x14ac:dyDescent="0.2">
      <c r="A16" s="42" t="s">
        <v>155</v>
      </c>
      <c r="B16" s="20">
        <v>100000</v>
      </c>
      <c r="C16" s="20">
        <v>0</v>
      </c>
      <c r="D16" s="20">
        <v>121883</v>
      </c>
      <c r="E16" s="20">
        <v>0</v>
      </c>
      <c r="F16" s="20">
        <v>121883</v>
      </c>
      <c r="G16" s="43">
        <v>123601</v>
      </c>
    </row>
    <row r="17" spans="1:7" x14ac:dyDescent="0.2">
      <c r="A17" s="42" t="s">
        <v>156</v>
      </c>
      <c r="B17" s="20">
        <v>12773</v>
      </c>
      <c r="C17" s="20">
        <v>0</v>
      </c>
      <c r="D17" s="20">
        <v>12952</v>
      </c>
      <c r="E17" s="20">
        <v>0</v>
      </c>
      <c r="F17" s="20">
        <v>12952</v>
      </c>
      <c r="G17" s="43">
        <v>13090</v>
      </c>
    </row>
    <row r="18" spans="1:7" x14ac:dyDescent="0.2">
      <c r="A18" s="42" t="s">
        <v>157</v>
      </c>
      <c r="B18" s="20">
        <v>19438</v>
      </c>
      <c r="C18" s="20">
        <v>0</v>
      </c>
      <c r="D18" s="20">
        <v>21260</v>
      </c>
      <c r="E18" s="20">
        <v>0</v>
      </c>
      <c r="F18" s="20">
        <v>21260</v>
      </c>
      <c r="G18" s="43">
        <v>21888</v>
      </c>
    </row>
    <row r="19" spans="1:7" x14ac:dyDescent="0.2">
      <c r="A19" s="42" t="s">
        <v>158</v>
      </c>
      <c r="B19" s="20">
        <v>117478</v>
      </c>
      <c r="C19" s="20">
        <v>0</v>
      </c>
      <c r="D19" s="20">
        <v>118812</v>
      </c>
      <c r="E19" s="20">
        <v>0</v>
      </c>
      <c r="F19" s="20">
        <v>118812</v>
      </c>
      <c r="G19" s="43">
        <v>119782</v>
      </c>
    </row>
    <row r="20" spans="1:7" x14ac:dyDescent="0.2">
      <c r="A20" s="42" t="s">
        <v>159</v>
      </c>
      <c r="B20" s="20">
        <v>62543</v>
      </c>
      <c r="C20" s="20">
        <v>0</v>
      </c>
      <c r="D20" s="20">
        <v>81404</v>
      </c>
      <c r="E20" s="20">
        <v>0</v>
      </c>
      <c r="F20" s="20">
        <v>81404</v>
      </c>
      <c r="G20" s="43">
        <v>83009</v>
      </c>
    </row>
    <row r="21" spans="1:7" x14ac:dyDescent="0.2">
      <c r="A21" s="42" t="s">
        <v>160</v>
      </c>
      <c r="B21" s="20">
        <v>33370</v>
      </c>
      <c r="C21" s="20">
        <v>0</v>
      </c>
      <c r="D21" s="20">
        <v>36055</v>
      </c>
      <c r="E21" s="20">
        <v>0</v>
      </c>
      <c r="F21" s="20">
        <v>36055</v>
      </c>
      <c r="G21" s="43">
        <v>36949</v>
      </c>
    </row>
    <row r="22" spans="1:7" x14ac:dyDescent="0.2">
      <c r="A22" s="42" t="s">
        <v>161</v>
      </c>
      <c r="B22" s="20">
        <v>30812</v>
      </c>
      <c r="C22" s="20">
        <v>0</v>
      </c>
      <c r="D22" s="20">
        <v>31309</v>
      </c>
      <c r="E22" s="20">
        <v>0</v>
      </c>
      <c r="F22" s="20">
        <v>31309</v>
      </c>
      <c r="G22" s="43">
        <v>32053</v>
      </c>
    </row>
    <row r="23" spans="1:7" x14ac:dyDescent="0.2">
      <c r="A23" s="42" t="s">
        <v>162</v>
      </c>
      <c r="B23" s="20">
        <v>60868</v>
      </c>
      <c r="C23" s="20">
        <v>0</v>
      </c>
      <c r="D23" s="20">
        <v>61776</v>
      </c>
      <c r="E23" s="20">
        <v>0</v>
      </c>
      <c r="F23" s="20">
        <v>61776</v>
      </c>
      <c r="G23" s="43">
        <v>63408</v>
      </c>
    </row>
    <row r="24" spans="1:7" x14ac:dyDescent="0.2">
      <c r="A24" s="42" t="s">
        <v>163</v>
      </c>
      <c r="B24" s="20">
        <v>30428</v>
      </c>
      <c r="C24" s="20">
        <v>0</v>
      </c>
      <c r="D24" s="20">
        <v>61823</v>
      </c>
      <c r="E24" s="20">
        <v>0</v>
      </c>
      <c r="F24" s="20">
        <v>61823</v>
      </c>
      <c r="G24" s="43">
        <v>63396</v>
      </c>
    </row>
    <row r="25" spans="1:7" x14ac:dyDescent="0.2">
      <c r="A25" s="42" t="s">
        <v>164</v>
      </c>
      <c r="B25" s="20">
        <v>16733</v>
      </c>
      <c r="C25" s="20">
        <v>0</v>
      </c>
      <c r="D25" s="20">
        <v>17025</v>
      </c>
      <c r="E25" s="20">
        <v>0</v>
      </c>
      <c r="F25" s="20">
        <v>17025</v>
      </c>
      <c r="G25" s="43">
        <v>17255</v>
      </c>
    </row>
    <row r="26" spans="1:7" x14ac:dyDescent="0.2">
      <c r="A26" s="42" t="s">
        <v>165</v>
      </c>
      <c r="B26" s="20">
        <v>48000</v>
      </c>
      <c r="C26" s="20">
        <v>0</v>
      </c>
      <c r="D26" s="20">
        <v>46881</v>
      </c>
      <c r="E26" s="20">
        <v>0</v>
      </c>
      <c r="F26" s="20">
        <v>46881</v>
      </c>
      <c r="G26" s="43">
        <v>48664</v>
      </c>
    </row>
    <row r="27" spans="1:7" x14ac:dyDescent="0.2">
      <c r="A27" s="42" t="s">
        <v>166</v>
      </c>
      <c r="B27" s="20">
        <v>49355</v>
      </c>
      <c r="C27" s="20">
        <v>0</v>
      </c>
      <c r="D27" s="20">
        <v>49402</v>
      </c>
      <c r="E27" s="20">
        <v>0</v>
      </c>
      <c r="F27" s="20">
        <v>49402</v>
      </c>
      <c r="G27" s="43">
        <v>49478</v>
      </c>
    </row>
    <row r="28" spans="1:7" x14ac:dyDescent="0.2">
      <c r="A28" s="42" t="s">
        <v>167</v>
      </c>
      <c r="B28" s="20">
        <v>122026</v>
      </c>
      <c r="C28" s="20">
        <v>0</v>
      </c>
      <c r="D28" s="20">
        <v>116839</v>
      </c>
      <c r="E28" s="20">
        <v>0</v>
      </c>
      <c r="F28" s="20">
        <v>116839</v>
      </c>
      <c r="G28" s="43">
        <v>119899</v>
      </c>
    </row>
    <row r="29" spans="1:7" x14ac:dyDescent="0.2">
      <c r="A29" s="42" t="s">
        <v>168</v>
      </c>
      <c r="B29" s="20">
        <v>53445</v>
      </c>
      <c r="C29" s="20">
        <v>0</v>
      </c>
      <c r="D29" s="20">
        <v>52807</v>
      </c>
      <c r="E29" s="20">
        <v>0</v>
      </c>
      <c r="F29" s="20">
        <v>52807</v>
      </c>
      <c r="G29" s="43">
        <v>54406</v>
      </c>
    </row>
    <row r="30" spans="1:7" x14ac:dyDescent="0.2">
      <c r="A30" s="42" t="s">
        <v>169</v>
      </c>
      <c r="B30" s="20">
        <v>46749</v>
      </c>
      <c r="C30" s="20">
        <v>0</v>
      </c>
      <c r="D30" s="20">
        <v>47310</v>
      </c>
      <c r="E30" s="20">
        <v>0</v>
      </c>
      <c r="F30" s="20">
        <v>47310</v>
      </c>
      <c r="G30" s="43">
        <v>48269</v>
      </c>
    </row>
    <row r="31" spans="1:7" x14ac:dyDescent="0.2">
      <c r="A31" s="42" t="s">
        <v>170</v>
      </c>
      <c r="B31" s="20">
        <v>73002</v>
      </c>
      <c r="C31" s="20">
        <v>0</v>
      </c>
      <c r="D31" s="20">
        <v>74218</v>
      </c>
      <c r="E31" s="20">
        <v>0</v>
      </c>
      <c r="F31" s="20">
        <v>74218</v>
      </c>
      <c r="G31" s="43">
        <v>76516</v>
      </c>
    </row>
    <row r="32" spans="1:7" x14ac:dyDescent="0.2">
      <c r="A32" s="42" t="s">
        <v>171</v>
      </c>
      <c r="B32" s="20">
        <v>9282</v>
      </c>
      <c r="C32" s="20">
        <v>0</v>
      </c>
      <c r="D32" s="20">
        <v>12700</v>
      </c>
      <c r="E32" s="20">
        <v>0</v>
      </c>
      <c r="F32" s="20">
        <v>12700</v>
      </c>
      <c r="G32" s="43">
        <v>12885</v>
      </c>
    </row>
    <row r="33" spans="1:7" x14ac:dyDescent="0.2">
      <c r="A33" s="42" t="s">
        <v>172</v>
      </c>
      <c r="B33" s="20">
        <v>21661</v>
      </c>
      <c r="C33" s="20">
        <v>0</v>
      </c>
      <c r="D33" s="20">
        <v>19957</v>
      </c>
      <c r="E33" s="20">
        <v>0</v>
      </c>
      <c r="F33" s="20">
        <v>19957</v>
      </c>
      <c r="G33" s="43">
        <v>20906</v>
      </c>
    </row>
    <row r="34" spans="1:7" x14ac:dyDescent="0.2">
      <c r="A34" s="42" t="s">
        <v>173</v>
      </c>
      <c r="B34" s="20">
        <v>22512</v>
      </c>
      <c r="C34" s="20">
        <v>0</v>
      </c>
      <c r="D34" s="20">
        <v>29460</v>
      </c>
      <c r="E34" s="20">
        <v>0</v>
      </c>
      <c r="F34" s="20">
        <v>29460</v>
      </c>
      <c r="G34" s="43">
        <v>29976</v>
      </c>
    </row>
    <row r="35" spans="1:7" x14ac:dyDescent="0.2">
      <c r="A35" s="42" t="s">
        <v>174</v>
      </c>
      <c r="B35" s="20">
        <v>11713</v>
      </c>
      <c r="C35" s="20">
        <v>0</v>
      </c>
      <c r="D35" s="20">
        <v>11905</v>
      </c>
      <c r="E35" s="20">
        <v>0</v>
      </c>
      <c r="F35" s="20">
        <v>11905</v>
      </c>
      <c r="G35" s="43">
        <v>12061</v>
      </c>
    </row>
    <row r="36" spans="1:7" x14ac:dyDescent="0.2">
      <c r="A36" s="42" t="s">
        <v>175</v>
      </c>
      <c r="B36" s="20">
        <v>63582</v>
      </c>
      <c r="C36" s="20">
        <v>0</v>
      </c>
      <c r="D36" s="20">
        <v>63351</v>
      </c>
      <c r="E36" s="20">
        <v>0</v>
      </c>
      <c r="F36" s="20">
        <v>63351</v>
      </c>
      <c r="G36" s="43">
        <v>64494</v>
      </c>
    </row>
    <row r="37" spans="1:7" x14ac:dyDescent="0.2">
      <c r="A37" s="42" t="s">
        <v>176</v>
      </c>
      <c r="B37" s="20">
        <v>27300</v>
      </c>
      <c r="C37" s="20">
        <v>0</v>
      </c>
      <c r="D37" s="20">
        <v>27756</v>
      </c>
      <c r="E37" s="20">
        <v>0</v>
      </c>
      <c r="F37" s="20">
        <v>27756</v>
      </c>
      <c r="G37" s="43">
        <v>28393</v>
      </c>
    </row>
    <row r="38" spans="1:7" x14ac:dyDescent="0.2">
      <c r="A38" s="42" t="s">
        <v>177</v>
      </c>
      <c r="B38" s="20">
        <v>186998</v>
      </c>
      <c r="C38" s="20">
        <v>0</v>
      </c>
      <c r="D38" s="20">
        <v>149580</v>
      </c>
      <c r="E38" s="20">
        <v>0</v>
      </c>
      <c r="F38" s="20">
        <v>149580</v>
      </c>
      <c r="G38" s="43">
        <v>144689</v>
      </c>
    </row>
    <row r="39" spans="1:7" x14ac:dyDescent="0.2">
      <c r="A39" s="42" t="s">
        <v>178</v>
      </c>
      <c r="B39" s="20">
        <v>110913</v>
      </c>
      <c r="C39" s="20">
        <v>0</v>
      </c>
      <c r="D39" s="20">
        <v>124165</v>
      </c>
      <c r="E39" s="20">
        <v>0</v>
      </c>
      <c r="F39" s="20">
        <v>124165</v>
      </c>
      <c r="G39" s="43">
        <v>127299</v>
      </c>
    </row>
    <row r="40" spans="1:7" x14ac:dyDescent="0.2">
      <c r="A40" s="42" t="s">
        <v>179</v>
      </c>
      <c r="B40" s="20">
        <v>11173</v>
      </c>
      <c r="C40" s="20">
        <v>0</v>
      </c>
      <c r="D40" s="20">
        <v>11383</v>
      </c>
      <c r="E40" s="20">
        <v>0</v>
      </c>
      <c r="F40" s="20">
        <v>11383</v>
      </c>
      <c r="G40" s="43">
        <v>11518</v>
      </c>
    </row>
    <row r="41" spans="1:7" x14ac:dyDescent="0.2">
      <c r="A41" s="42" t="s">
        <v>180</v>
      </c>
      <c r="B41" s="20">
        <v>103333</v>
      </c>
      <c r="C41" s="20">
        <v>0</v>
      </c>
      <c r="D41" s="20">
        <v>140557</v>
      </c>
      <c r="E41" s="20">
        <v>0</v>
      </c>
      <c r="F41" s="20">
        <v>140557</v>
      </c>
      <c r="G41" s="43">
        <v>143217</v>
      </c>
    </row>
    <row r="42" spans="1:7" x14ac:dyDescent="0.2">
      <c r="A42" s="42" t="s">
        <v>181</v>
      </c>
      <c r="B42" s="20">
        <v>42141</v>
      </c>
      <c r="C42" s="20">
        <v>0</v>
      </c>
      <c r="D42" s="20">
        <v>48776</v>
      </c>
      <c r="E42" s="20">
        <v>0</v>
      </c>
      <c r="F42" s="20">
        <v>48776</v>
      </c>
      <c r="G42" s="43">
        <v>50567</v>
      </c>
    </row>
    <row r="43" spans="1:7" x14ac:dyDescent="0.2">
      <c r="A43" s="42" t="s">
        <v>182</v>
      </c>
      <c r="B43" s="20">
        <v>52920</v>
      </c>
      <c r="C43" s="20">
        <v>0</v>
      </c>
      <c r="D43" s="20">
        <v>44274</v>
      </c>
      <c r="E43" s="20">
        <v>0</v>
      </c>
      <c r="F43" s="20">
        <v>44274</v>
      </c>
      <c r="G43" s="43">
        <v>44336</v>
      </c>
    </row>
    <row r="44" spans="1:7" x14ac:dyDescent="0.2">
      <c r="A44" s="42" t="s">
        <v>183</v>
      </c>
      <c r="B44" s="20">
        <v>159750</v>
      </c>
      <c r="C44" s="20">
        <v>0</v>
      </c>
      <c r="D44" s="20">
        <v>134605</v>
      </c>
      <c r="E44" s="20">
        <v>0</v>
      </c>
      <c r="F44" s="20">
        <v>134605</v>
      </c>
      <c r="G44" s="43">
        <v>136144</v>
      </c>
    </row>
    <row r="45" spans="1:7" x14ac:dyDescent="0.2">
      <c r="A45" s="42" t="s">
        <v>184</v>
      </c>
      <c r="B45" s="20">
        <v>16173</v>
      </c>
      <c r="C45" s="20">
        <v>0</v>
      </c>
      <c r="D45" s="20">
        <v>11383</v>
      </c>
      <c r="E45" s="20">
        <v>0</v>
      </c>
      <c r="F45" s="20">
        <v>11383</v>
      </c>
      <c r="G45" s="43">
        <v>11518</v>
      </c>
    </row>
    <row r="46" spans="1:7" x14ac:dyDescent="0.2">
      <c r="A46" s="42" t="s">
        <v>185</v>
      </c>
      <c r="B46" s="20">
        <v>68603</v>
      </c>
      <c r="C46" s="20">
        <v>0</v>
      </c>
      <c r="D46" s="20">
        <v>65776</v>
      </c>
      <c r="E46" s="20">
        <v>0</v>
      </c>
      <c r="F46" s="20">
        <v>65776</v>
      </c>
      <c r="G46" s="43">
        <v>67375</v>
      </c>
    </row>
    <row r="47" spans="1:7" x14ac:dyDescent="0.2">
      <c r="A47" s="42" t="s">
        <v>186</v>
      </c>
      <c r="B47" s="20">
        <v>9173</v>
      </c>
      <c r="C47" s="20">
        <v>0</v>
      </c>
      <c r="D47" s="20">
        <v>11383</v>
      </c>
      <c r="E47" s="20">
        <v>0</v>
      </c>
      <c r="F47" s="20">
        <v>11383</v>
      </c>
      <c r="G47" s="43">
        <v>11518</v>
      </c>
    </row>
    <row r="48" spans="1:7" x14ac:dyDescent="0.2">
      <c r="A48" s="42" t="s">
        <v>187</v>
      </c>
      <c r="B48" s="20">
        <v>54934</v>
      </c>
      <c r="C48" s="20">
        <v>0</v>
      </c>
      <c r="D48" s="20">
        <v>82682</v>
      </c>
      <c r="E48" s="20">
        <v>0</v>
      </c>
      <c r="F48" s="20">
        <v>82682</v>
      </c>
      <c r="G48" s="43">
        <v>84546</v>
      </c>
    </row>
    <row r="49" spans="1:7" x14ac:dyDescent="0.2">
      <c r="A49" s="42" t="s">
        <v>188</v>
      </c>
      <c r="B49" s="20">
        <v>199943</v>
      </c>
      <c r="C49" s="20">
        <v>0</v>
      </c>
      <c r="D49" s="20">
        <v>295274</v>
      </c>
      <c r="E49" s="20">
        <v>0</v>
      </c>
      <c r="F49" s="20">
        <v>295274</v>
      </c>
      <c r="G49" s="43">
        <v>299846</v>
      </c>
    </row>
    <row r="50" spans="1:7" x14ac:dyDescent="0.2">
      <c r="A50" s="42" t="s">
        <v>189</v>
      </c>
      <c r="B50" s="20">
        <v>35396</v>
      </c>
      <c r="C50" s="20">
        <v>0</v>
      </c>
      <c r="D50" s="20">
        <v>36436</v>
      </c>
      <c r="E50" s="20">
        <v>0</v>
      </c>
      <c r="F50" s="20">
        <v>36436</v>
      </c>
      <c r="G50" s="43">
        <v>36624</v>
      </c>
    </row>
    <row r="51" spans="1:7" x14ac:dyDescent="0.2">
      <c r="A51" s="42" t="s">
        <v>190</v>
      </c>
      <c r="B51" s="20">
        <v>16348</v>
      </c>
      <c r="C51" s="20">
        <v>0</v>
      </c>
      <c r="D51" s="20">
        <v>11383</v>
      </c>
      <c r="E51" s="20">
        <v>0</v>
      </c>
      <c r="F51" s="20">
        <v>11383</v>
      </c>
      <c r="G51" s="43">
        <v>11518</v>
      </c>
    </row>
    <row r="52" spans="1:7" x14ac:dyDescent="0.2">
      <c r="A52" s="42" t="s">
        <v>191</v>
      </c>
      <c r="B52" s="20">
        <v>78260</v>
      </c>
      <c r="C52" s="20">
        <v>0</v>
      </c>
      <c r="D52" s="20">
        <v>76455</v>
      </c>
      <c r="E52" s="20">
        <v>0</v>
      </c>
      <c r="F52" s="20">
        <v>76455</v>
      </c>
      <c r="G52" s="43">
        <v>78811</v>
      </c>
    </row>
    <row r="53" spans="1:7" x14ac:dyDescent="0.2">
      <c r="A53" s="42" t="s">
        <v>192</v>
      </c>
      <c r="B53" s="20">
        <v>58681</v>
      </c>
      <c r="C53" s="20">
        <v>0</v>
      </c>
      <c r="D53" s="20">
        <v>60163</v>
      </c>
      <c r="E53" s="20">
        <v>0</v>
      </c>
      <c r="F53" s="20">
        <v>60163</v>
      </c>
      <c r="G53" s="43">
        <v>59642</v>
      </c>
    </row>
    <row r="54" spans="1:7" x14ac:dyDescent="0.2">
      <c r="A54" s="42" t="s">
        <v>193</v>
      </c>
      <c r="B54" s="20">
        <v>29822</v>
      </c>
      <c r="C54" s="20">
        <v>0</v>
      </c>
      <c r="D54" s="20">
        <v>28065</v>
      </c>
      <c r="E54" s="20">
        <v>0</v>
      </c>
      <c r="F54" s="20">
        <v>28065</v>
      </c>
      <c r="G54" s="43">
        <v>28139</v>
      </c>
    </row>
    <row r="55" spans="1:7" x14ac:dyDescent="0.2">
      <c r="A55" s="42" t="s">
        <v>194</v>
      </c>
      <c r="B55" s="20">
        <v>65053</v>
      </c>
      <c r="C55" s="20">
        <v>0</v>
      </c>
      <c r="D55" s="20">
        <v>65064</v>
      </c>
      <c r="E55" s="20">
        <v>0</v>
      </c>
      <c r="F55" s="20">
        <v>65064</v>
      </c>
      <c r="G55" s="43">
        <v>66287</v>
      </c>
    </row>
    <row r="56" spans="1:7" x14ac:dyDescent="0.2">
      <c r="A56" s="42" t="s">
        <v>195</v>
      </c>
      <c r="B56" s="20">
        <v>11173</v>
      </c>
      <c r="C56" s="20">
        <v>0</v>
      </c>
      <c r="D56" s="20">
        <v>11383</v>
      </c>
      <c r="E56" s="20">
        <v>0</v>
      </c>
      <c r="F56" s="20">
        <v>11383</v>
      </c>
      <c r="G56" s="43">
        <v>11518</v>
      </c>
    </row>
    <row r="57" spans="1:7" x14ac:dyDescent="0.2">
      <c r="A57" s="42" t="s">
        <v>196</v>
      </c>
      <c r="B57" s="20">
        <v>932</v>
      </c>
      <c r="C57" s="20">
        <v>0</v>
      </c>
      <c r="D57" s="20">
        <v>937</v>
      </c>
      <c r="E57" s="20">
        <v>0</v>
      </c>
      <c r="F57" s="20">
        <v>937</v>
      </c>
      <c r="G57" s="43">
        <v>905</v>
      </c>
    </row>
    <row r="58" spans="1:7" x14ac:dyDescent="0.2">
      <c r="A58" s="42" t="s">
        <v>197</v>
      </c>
      <c r="B58" s="20">
        <v>3134</v>
      </c>
      <c r="C58" s="20">
        <v>0</v>
      </c>
      <c r="D58" s="20">
        <v>3188</v>
      </c>
      <c r="E58" s="20">
        <v>0</v>
      </c>
      <c r="F58" s="20">
        <v>3188</v>
      </c>
      <c r="G58" s="43">
        <v>3222</v>
      </c>
    </row>
    <row r="59" spans="1:7" x14ac:dyDescent="0.2">
      <c r="A59" s="42" t="s">
        <v>198</v>
      </c>
      <c r="B59" s="20">
        <v>873</v>
      </c>
      <c r="C59" s="20">
        <v>0</v>
      </c>
      <c r="D59" s="20">
        <v>884</v>
      </c>
      <c r="E59" s="20">
        <v>0</v>
      </c>
      <c r="F59" s="20">
        <v>884</v>
      </c>
      <c r="G59" s="43">
        <v>895</v>
      </c>
    </row>
    <row r="60" spans="1:7" x14ac:dyDescent="0.2">
      <c r="A60" s="42" t="s">
        <v>199</v>
      </c>
      <c r="B60" s="20">
        <v>44664</v>
      </c>
      <c r="C60" s="20">
        <v>0</v>
      </c>
      <c r="D60" s="20">
        <v>68470</v>
      </c>
      <c r="E60" s="20">
        <v>0</v>
      </c>
      <c r="F60" s="20">
        <v>68470</v>
      </c>
      <c r="G60" s="43">
        <v>68517</v>
      </c>
    </row>
    <row r="61" spans="1:7" x14ac:dyDescent="0.2">
      <c r="A61" s="42" t="s">
        <v>200</v>
      </c>
      <c r="B61" s="20">
        <v>0</v>
      </c>
      <c r="C61" s="20">
        <v>0</v>
      </c>
      <c r="D61" s="20">
        <v>0</v>
      </c>
      <c r="E61" s="20">
        <v>0</v>
      </c>
      <c r="F61" s="20">
        <v>0</v>
      </c>
      <c r="G61" s="43">
        <v>0</v>
      </c>
    </row>
    <row r="62" spans="1:7" x14ac:dyDescent="0.2">
      <c r="A62" s="42" t="s">
        <v>201</v>
      </c>
      <c r="B62" s="20">
        <v>2143</v>
      </c>
      <c r="C62" s="20">
        <v>0</v>
      </c>
      <c r="D62" s="20">
        <v>2169</v>
      </c>
      <c r="E62" s="20">
        <v>0</v>
      </c>
      <c r="F62" s="20">
        <v>2169</v>
      </c>
      <c r="G62" s="43">
        <v>2182</v>
      </c>
    </row>
    <row r="63" spans="1:7" x14ac:dyDescent="0.2">
      <c r="A63" s="42" t="s">
        <v>202</v>
      </c>
      <c r="B63" s="20">
        <v>45250</v>
      </c>
      <c r="C63" s="20">
        <v>0</v>
      </c>
      <c r="D63" s="20">
        <v>50650</v>
      </c>
      <c r="E63" s="20">
        <v>0</v>
      </c>
      <c r="F63" s="20">
        <v>50650</v>
      </c>
      <c r="G63" s="43">
        <v>51803</v>
      </c>
    </row>
    <row r="64" spans="1:7" x14ac:dyDescent="0.2">
      <c r="A64" s="42" t="s">
        <v>203</v>
      </c>
      <c r="B64" s="20">
        <v>0</v>
      </c>
      <c r="C64" s="20" t="s">
        <v>367</v>
      </c>
      <c r="D64" s="20">
        <v>0</v>
      </c>
      <c r="E64" s="20">
        <v>0</v>
      </c>
      <c r="F64" s="20">
        <v>0</v>
      </c>
      <c r="G64" s="43">
        <v>0</v>
      </c>
    </row>
    <row r="65" spans="1:7" ht="15" customHeight="1" x14ac:dyDescent="0.2">
      <c r="A65" s="44" t="s">
        <v>204</v>
      </c>
      <c r="B65" s="45">
        <v>3266939</v>
      </c>
      <c r="C65" s="45">
        <v>130110</v>
      </c>
      <c r="D65" s="45">
        <v>3465545</v>
      </c>
      <c r="E65" s="45">
        <v>0</v>
      </c>
      <c r="F65" s="45">
        <v>3465545</v>
      </c>
      <c r="G65" s="51">
        <v>3507134</v>
      </c>
    </row>
    <row r="66" spans="1:7" ht="15" customHeight="1" x14ac:dyDescent="0.2">
      <c r="A66" s="101" t="s">
        <v>205</v>
      </c>
      <c r="B66" s="101"/>
      <c r="C66" s="101"/>
      <c r="D66" s="101"/>
      <c r="E66" s="101"/>
      <c r="F66" s="101"/>
      <c r="G66" s="101"/>
    </row>
    <row r="67" spans="1:7" ht="27.75" customHeight="1" x14ac:dyDescent="0.2">
      <c r="A67" s="102" t="s">
        <v>593</v>
      </c>
      <c r="B67" s="102"/>
      <c r="C67" s="102"/>
      <c r="D67" s="102"/>
      <c r="E67" s="102"/>
      <c r="F67" s="102"/>
      <c r="G67" s="102"/>
    </row>
  </sheetData>
  <mergeCells count="6">
    <mergeCell ref="A67:G67"/>
    <mergeCell ref="A4:A5"/>
    <mergeCell ref="B4:B5"/>
    <mergeCell ref="F4:F5"/>
    <mergeCell ref="G4:G5"/>
    <mergeCell ref="A66:G66"/>
  </mergeCells>
  <pageMargins left="0.7" right="0.7" top="0.75" bottom="0.75" header="0.3" footer="0.3"/>
  <pageSetup orientation="portrait" horizontalDpi="1200" verticalDpi="120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208</v>
      </c>
      <c r="B1" s="16"/>
      <c r="C1" s="16"/>
      <c r="D1" s="16"/>
      <c r="E1" s="16"/>
      <c r="F1" s="16"/>
      <c r="G1" s="15" t="s">
        <v>26</v>
      </c>
    </row>
    <row r="2" spans="1:7" x14ac:dyDescent="0.2">
      <c r="A2" s="17" t="s">
        <v>331</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197338</v>
      </c>
      <c r="C6" s="20">
        <v>0</v>
      </c>
      <c r="D6" s="20">
        <v>199693</v>
      </c>
      <c r="E6" s="20">
        <v>37843</v>
      </c>
      <c r="F6" s="20">
        <v>237536</v>
      </c>
      <c r="G6" s="43">
        <v>237812</v>
      </c>
    </row>
    <row r="7" spans="1:7" x14ac:dyDescent="0.2">
      <c r="A7" s="42" t="s">
        <v>146</v>
      </c>
      <c r="B7" s="20">
        <v>40434</v>
      </c>
      <c r="C7" s="20">
        <v>0</v>
      </c>
      <c r="D7" s="20">
        <v>41003</v>
      </c>
      <c r="E7" s="20">
        <v>8600</v>
      </c>
      <c r="F7" s="20">
        <v>49603</v>
      </c>
      <c r="G7" s="43">
        <v>49670</v>
      </c>
    </row>
    <row r="8" spans="1:7" x14ac:dyDescent="0.2">
      <c r="A8" s="42" t="s">
        <v>147</v>
      </c>
      <c r="B8" s="20">
        <v>225998</v>
      </c>
      <c r="C8" s="20">
        <v>0</v>
      </c>
      <c r="D8" s="20">
        <v>232369</v>
      </c>
      <c r="E8" s="20">
        <v>45663</v>
      </c>
      <c r="F8" s="20">
        <v>278032</v>
      </c>
      <c r="G8" s="43">
        <v>281255</v>
      </c>
    </row>
    <row r="9" spans="1:7" x14ac:dyDescent="0.2">
      <c r="A9" s="42" t="s">
        <v>148</v>
      </c>
      <c r="B9" s="20">
        <v>121548</v>
      </c>
      <c r="C9" s="20">
        <v>0</v>
      </c>
      <c r="D9" s="20">
        <v>122998</v>
      </c>
      <c r="E9" s="20">
        <v>26549</v>
      </c>
      <c r="F9" s="20">
        <v>149547</v>
      </c>
      <c r="G9" s="43">
        <v>149720</v>
      </c>
    </row>
    <row r="10" spans="1:7" x14ac:dyDescent="0.2">
      <c r="A10" s="42" t="s">
        <v>149</v>
      </c>
      <c r="B10" s="20">
        <v>1327802</v>
      </c>
      <c r="C10" s="20">
        <v>0</v>
      </c>
      <c r="D10" s="20">
        <v>1343641</v>
      </c>
      <c r="E10" s="20">
        <v>256352</v>
      </c>
      <c r="F10" s="20">
        <v>1599994</v>
      </c>
      <c r="G10" s="43">
        <v>1601847</v>
      </c>
    </row>
    <row r="11" spans="1:7" x14ac:dyDescent="0.2">
      <c r="A11" s="42" t="s">
        <v>150</v>
      </c>
      <c r="B11" s="20">
        <v>176600</v>
      </c>
      <c r="C11" s="20">
        <v>0</v>
      </c>
      <c r="D11" s="20">
        <v>178700</v>
      </c>
      <c r="E11" s="20">
        <v>38572</v>
      </c>
      <c r="F11" s="20">
        <v>217271</v>
      </c>
      <c r="G11" s="43">
        <v>217523</v>
      </c>
    </row>
    <row r="12" spans="1:7" x14ac:dyDescent="0.2">
      <c r="A12" s="42" t="s">
        <v>151</v>
      </c>
      <c r="B12" s="20">
        <v>144548</v>
      </c>
      <c r="C12" s="20">
        <v>0</v>
      </c>
      <c r="D12" s="20">
        <v>146277</v>
      </c>
      <c r="E12" s="20">
        <v>27238</v>
      </c>
      <c r="F12" s="20">
        <v>173516</v>
      </c>
      <c r="G12" s="43">
        <v>173717</v>
      </c>
    </row>
    <row r="13" spans="1:7" x14ac:dyDescent="0.2">
      <c r="A13" s="42" t="s">
        <v>152</v>
      </c>
      <c r="B13" s="20">
        <v>39413</v>
      </c>
      <c r="C13" s="20">
        <v>0</v>
      </c>
      <c r="D13" s="20">
        <v>39981</v>
      </c>
      <c r="E13" s="20">
        <v>8513</v>
      </c>
      <c r="F13" s="20">
        <v>48493</v>
      </c>
      <c r="G13" s="43">
        <v>48647</v>
      </c>
    </row>
    <row r="14" spans="1:7" x14ac:dyDescent="0.2">
      <c r="A14" s="42" t="s">
        <v>153</v>
      </c>
      <c r="B14" s="20">
        <v>21059</v>
      </c>
      <c r="C14" s="20">
        <v>0</v>
      </c>
      <c r="D14" s="20">
        <v>21654</v>
      </c>
      <c r="E14" s="20">
        <v>4255</v>
      </c>
      <c r="F14" s="20">
        <v>25909</v>
      </c>
      <c r="G14" s="43">
        <v>26331</v>
      </c>
    </row>
    <row r="15" spans="1:7" x14ac:dyDescent="0.2">
      <c r="A15" s="42" t="s">
        <v>154</v>
      </c>
      <c r="B15" s="20">
        <v>702252</v>
      </c>
      <c r="C15" s="20">
        <v>0</v>
      </c>
      <c r="D15" s="20">
        <v>710614</v>
      </c>
      <c r="E15" s="20">
        <v>153384</v>
      </c>
      <c r="F15" s="20">
        <v>863998</v>
      </c>
      <c r="G15" s="43">
        <v>864999</v>
      </c>
    </row>
    <row r="16" spans="1:7" x14ac:dyDescent="0.2">
      <c r="A16" s="42" t="s">
        <v>155</v>
      </c>
      <c r="B16" s="20">
        <v>381031</v>
      </c>
      <c r="C16" s="20">
        <v>0</v>
      </c>
      <c r="D16" s="20">
        <v>385557</v>
      </c>
      <c r="E16" s="20">
        <v>83221</v>
      </c>
      <c r="F16" s="20">
        <v>468778</v>
      </c>
      <c r="G16" s="43">
        <v>469321</v>
      </c>
    </row>
    <row r="17" spans="1:7" x14ac:dyDescent="0.2">
      <c r="A17" s="42" t="s">
        <v>156</v>
      </c>
      <c r="B17" s="20">
        <v>43220</v>
      </c>
      <c r="C17" s="20">
        <v>0</v>
      </c>
      <c r="D17" s="20">
        <v>43736</v>
      </c>
      <c r="E17" s="20">
        <v>9440</v>
      </c>
      <c r="F17" s="20">
        <v>53176</v>
      </c>
      <c r="G17" s="43">
        <v>53237</v>
      </c>
    </row>
    <row r="18" spans="1:7" x14ac:dyDescent="0.2">
      <c r="A18" s="42" t="s">
        <v>157</v>
      </c>
      <c r="B18" s="20">
        <v>62486</v>
      </c>
      <c r="C18" s="20">
        <v>0</v>
      </c>
      <c r="D18" s="20">
        <v>63643</v>
      </c>
      <c r="E18" s="20">
        <v>13234</v>
      </c>
      <c r="F18" s="20">
        <v>76877</v>
      </c>
      <c r="G18" s="43">
        <v>76966</v>
      </c>
    </row>
    <row r="19" spans="1:7" x14ac:dyDescent="0.2">
      <c r="A19" s="42" t="s">
        <v>158</v>
      </c>
      <c r="B19" s="20">
        <v>549779</v>
      </c>
      <c r="C19" s="20">
        <v>0</v>
      </c>
      <c r="D19" s="20">
        <v>556359</v>
      </c>
      <c r="E19" s="20">
        <v>103599</v>
      </c>
      <c r="F19" s="20">
        <v>659957</v>
      </c>
      <c r="G19" s="43">
        <v>660722</v>
      </c>
    </row>
    <row r="20" spans="1:7" x14ac:dyDescent="0.2">
      <c r="A20" s="42" t="s">
        <v>159</v>
      </c>
      <c r="B20" s="20">
        <v>281079</v>
      </c>
      <c r="C20" s="20">
        <v>0</v>
      </c>
      <c r="D20" s="20">
        <v>284432</v>
      </c>
      <c r="E20" s="20">
        <v>61394</v>
      </c>
      <c r="F20" s="20">
        <v>345826</v>
      </c>
      <c r="G20" s="43">
        <v>346226</v>
      </c>
    </row>
    <row r="21" spans="1:7" x14ac:dyDescent="0.2">
      <c r="A21" s="42" t="s">
        <v>160</v>
      </c>
      <c r="B21" s="20">
        <v>132762</v>
      </c>
      <c r="C21" s="20">
        <v>0</v>
      </c>
      <c r="D21" s="20">
        <v>134349</v>
      </c>
      <c r="E21" s="20">
        <v>25017</v>
      </c>
      <c r="F21" s="20">
        <v>159366</v>
      </c>
      <c r="G21" s="43">
        <v>159550</v>
      </c>
    </row>
    <row r="22" spans="1:7" x14ac:dyDescent="0.2">
      <c r="A22" s="42" t="s">
        <v>161</v>
      </c>
      <c r="B22" s="20">
        <v>115949</v>
      </c>
      <c r="C22" s="20">
        <v>0</v>
      </c>
      <c r="D22" s="20">
        <v>117332</v>
      </c>
      <c r="E22" s="20">
        <v>25326</v>
      </c>
      <c r="F22" s="20">
        <v>142658</v>
      </c>
      <c r="G22" s="43">
        <v>142823</v>
      </c>
    </row>
    <row r="23" spans="1:7" x14ac:dyDescent="0.2">
      <c r="A23" s="42" t="s">
        <v>162</v>
      </c>
      <c r="B23" s="20">
        <v>171686</v>
      </c>
      <c r="C23" s="20">
        <v>0</v>
      </c>
      <c r="D23" s="20">
        <v>173734</v>
      </c>
      <c r="E23" s="20">
        <v>37500</v>
      </c>
      <c r="F23" s="20">
        <v>211234</v>
      </c>
      <c r="G23" s="43">
        <v>211479</v>
      </c>
    </row>
    <row r="24" spans="1:7" x14ac:dyDescent="0.2">
      <c r="A24" s="42" t="s">
        <v>163</v>
      </c>
      <c r="B24" s="20">
        <v>204811</v>
      </c>
      <c r="C24" s="20">
        <v>0</v>
      </c>
      <c r="D24" s="20">
        <v>207255</v>
      </c>
      <c r="E24" s="20">
        <v>41128</v>
      </c>
      <c r="F24" s="20">
        <v>248383</v>
      </c>
      <c r="G24" s="43">
        <v>248671</v>
      </c>
    </row>
    <row r="25" spans="1:7" x14ac:dyDescent="0.2">
      <c r="A25" s="42" t="s">
        <v>164</v>
      </c>
      <c r="B25" s="20">
        <v>59501</v>
      </c>
      <c r="C25" s="20">
        <v>0</v>
      </c>
      <c r="D25" s="20">
        <v>60216</v>
      </c>
      <c r="E25" s="20">
        <v>11213</v>
      </c>
      <c r="F25" s="20">
        <v>71429</v>
      </c>
      <c r="G25" s="43">
        <v>71512</v>
      </c>
    </row>
    <row r="26" spans="1:7" x14ac:dyDescent="0.2">
      <c r="A26" s="42" t="s">
        <v>165</v>
      </c>
      <c r="B26" s="20">
        <v>217406</v>
      </c>
      <c r="C26" s="20">
        <v>0</v>
      </c>
      <c r="D26" s="20">
        <v>220001</v>
      </c>
      <c r="E26" s="20">
        <v>46841</v>
      </c>
      <c r="F26" s="20">
        <v>266842</v>
      </c>
      <c r="G26" s="43">
        <v>267151</v>
      </c>
    </row>
    <row r="27" spans="1:7" x14ac:dyDescent="0.2">
      <c r="A27" s="42" t="s">
        <v>166</v>
      </c>
      <c r="B27" s="20">
        <v>308688</v>
      </c>
      <c r="C27" s="20">
        <v>0</v>
      </c>
      <c r="D27" s="20">
        <v>312387</v>
      </c>
      <c r="E27" s="20">
        <v>58169</v>
      </c>
      <c r="F27" s="20">
        <v>370556</v>
      </c>
      <c r="G27" s="43">
        <v>370985</v>
      </c>
    </row>
    <row r="28" spans="1:7" x14ac:dyDescent="0.2">
      <c r="A28" s="42" t="s">
        <v>167</v>
      </c>
      <c r="B28" s="20">
        <v>433847</v>
      </c>
      <c r="C28" s="20">
        <v>0</v>
      </c>
      <c r="D28" s="20">
        <v>439033</v>
      </c>
      <c r="E28" s="20">
        <v>81752</v>
      </c>
      <c r="F28" s="20">
        <v>520785</v>
      </c>
      <c r="G28" s="43">
        <v>521388</v>
      </c>
    </row>
    <row r="29" spans="1:7" x14ac:dyDescent="0.2">
      <c r="A29" s="42" t="s">
        <v>168</v>
      </c>
      <c r="B29" s="20">
        <v>206133</v>
      </c>
      <c r="C29" s="20">
        <v>0</v>
      </c>
      <c r="D29" s="20">
        <v>208592</v>
      </c>
      <c r="E29" s="20">
        <v>45024</v>
      </c>
      <c r="F29" s="20">
        <v>253616</v>
      </c>
      <c r="G29" s="43">
        <v>253909</v>
      </c>
    </row>
    <row r="30" spans="1:7" x14ac:dyDescent="0.2">
      <c r="A30" s="42" t="s">
        <v>169</v>
      </c>
      <c r="B30" s="20">
        <v>130125</v>
      </c>
      <c r="C30" s="20">
        <v>0</v>
      </c>
      <c r="D30" s="20">
        <v>131678</v>
      </c>
      <c r="E30" s="20">
        <v>24608</v>
      </c>
      <c r="F30" s="20">
        <v>156286</v>
      </c>
      <c r="G30" s="43">
        <v>156467</v>
      </c>
    </row>
    <row r="31" spans="1:7" x14ac:dyDescent="0.2">
      <c r="A31" s="42" t="s">
        <v>170</v>
      </c>
      <c r="B31" s="20">
        <v>246991</v>
      </c>
      <c r="C31" s="20">
        <v>0</v>
      </c>
      <c r="D31" s="20">
        <v>249942</v>
      </c>
      <c r="E31" s="20">
        <v>46541</v>
      </c>
      <c r="F31" s="20">
        <v>296483</v>
      </c>
      <c r="G31" s="43">
        <v>296826</v>
      </c>
    </row>
    <row r="32" spans="1:7" x14ac:dyDescent="0.2">
      <c r="A32" s="42" t="s">
        <v>171</v>
      </c>
      <c r="B32" s="20">
        <v>41185</v>
      </c>
      <c r="C32" s="20">
        <v>0</v>
      </c>
      <c r="D32" s="20">
        <v>41753</v>
      </c>
      <c r="E32" s="20">
        <v>8600</v>
      </c>
      <c r="F32" s="20">
        <v>50353</v>
      </c>
      <c r="G32" s="43">
        <v>50420</v>
      </c>
    </row>
    <row r="33" spans="1:7" x14ac:dyDescent="0.2">
      <c r="A33" s="42" t="s">
        <v>172</v>
      </c>
      <c r="B33" s="20">
        <v>81202</v>
      </c>
      <c r="C33" s="20">
        <v>0</v>
      </c>
      <c r="D33" s="20">
        <v>82172</v>
      </c>
      <c r="E33" s="20">
        <v>15368</v>
      </c>
      <c r="F33" s="20">
        <v>97540</v>
      </c>
      <c r="G33" s="43">
        <v>97653</v>
      </c>
    </row>
    <row r="34" spans="1:7" x14ac:dyDescent="0.2">
      <c r="A34" s="42" t="s">
        <v>173</v>
      </c>
      <c r="B34" s="20">
        <v>85973</v>
      </c>
      <c r="C34" s="20">
        <v>0</v>
      </c>
      <c r="D34" s="20">
        <v>88396</v>
      </c>
      <c r="E34" s="20">
        <v>17371</v>
      </c>
      <c r="F34" s="20">
        <v>105767</v>
      </c>
      <c r="G34" s="43">
        <v>107490</v>
      </c>
    </row>
    <row r="35" spans="1:7" x14ac:dyDescent="0.2">
      <c r="A35" s="42" t="s">
        <v>174</v>
      </c>
      <c r="B35" s="20">
        <v>51601</v>
      </c>
      <c r="C35" s="20">
        <v>0</v>
      </c>
      <c r="D35" s="20">
        <v>52219</v>
      </c>
      <c r="E35" s="20">
        <v>9724</v>
      </c>
      <c r="F35" s="20">
        <v>61942</v>
      </c>
      <c r="G35" s="43">
        <v>62014</v>
      </c>
    </row>
    <row r="36" spans="1:7" x14ac:dyDescent="0.2">
      <c r="A36" s="42" t="s">
        <v>175</v>
      </c>
      <c r="B36" s="20">
        <v>393060</v>
      </c>
      <c r="C36" s="20">
        <v>0</v>
      </c>
      <c r="D36" s="20">
        <v>397771</v>
      </c>
      <c r="E36" s="20">
        <v>74068</v>
      </c>
      <c r="F36" s="20">
        <v>471840</v>
      </c>
      <c r="G36" s="43">
        <v>472386</v>
      </c>
    </row>
    <row r="37" spans="1:7" x14ac:dyDescent="0.2">
      <c r="A37" s="42" t="s">
        <v>176</v>
      </c>
      <c r="B37" s="20">
        <v>99050</v>
      </c>
      <c r="C37" s="20">
        <v>0</v>
      </c>
      <c r="D37" s="20">
        <v>100233</v>
      </c>
      <c r="E37" s="20">
        <v>18664</v>
      </c>
      <c r="F37" s="20">
        <v>118898</v>
      </c>
      <c r="G37" s="43">
        <v>119035</v>
      </c>
    </row>
    <row r="38" spans="1:7" x14ac:dyDescent="0.2">
      <c r="A38" s="42" t="s">
        <v>177</v>
      </c>
      <c r="B38" s="20">
        <v>824854</v>
      </c>
      <c r="C38" s="20">
        <v>0</v>
      </c>
      <c r="D38" s="20">
        <v>834731</v>
      </c>
      <c r="E38" s="20">
        <v>155434</v>
      </c>
      <c r="F38" s="20">
        <v>990165</v>
      </c>
      <c r="G38" s="43">
        <v>991312</v>
      </c>
    </row>
    <row r="39" spans="1:7" x14ac:dyDescent="0.2">
      <c r="A39" s="42" t="s">
        <v>178</v>
      </c>
      <c r="B39" s="20">
        <v>372501</v>
      </c>
      <c r="C39" s="20">
        <v>0</v>
      </c>
      <c r="D39" s="20">
        <v>376931</v>
      </c>
      <c r="E39" s="20">
        <v>81359</v>
      </c>
      <c r="F39" s="20">
        <v>458291</v>
      </c>
      <c r="G39" s="43">
        <v>458822</v>
      </c>
    </row>
    <row r="40" spans="1:7" x14ac:dyDescent="0.2">
      <c r="A40" s="42" t="s">
        <v>179</v>
      </c>
      <c r="B40" s="20">
        <v>34006</v>
      </c>
      <c r="C40" s="20">
        <v>0</v>
      </c>
      <c r="D40" s="20">
        <v>34970</v>
      </c>
      <c r="E40" s="20">
        <v>6872</v>
      </c>
      <c r="F40" s="20">
        <v>41841</v>
      </c>
      <c r="G40" s="43">
        <v>42523</v>
      </c>
    </row>
    <row r="41" spans="1:7" x14ac:dyDescent="0.2">
      <c r="A41" s="42" t="s">
        <v>180</v>
      </c>
      <c r="B41" s="20">
        <v>474262</v>
      </c>
      <c r="C41" s="20">
        <v>0</v>
      </c>
      <c r="D41" s="20">
        <v>479921</v>
      </c>
      <c r="E41" s="20">
        <v>92477</v>
      </c>
      <c r="F41" s="20">
        <v>572398</v>
      </c>
      <c r="G41" s="43">
        <v>573061</v>
      </c>
    </row>
    <row r="42" spans="1:7" x14ac:dyDescent="0.2">
      <c r="A42" s="42" t="s">
        <v>181</v>
      </c>
      <c r="B42" s="20">
        <v>161933</v>
      </c>
      <c r="C42" s="20">
        <v>0</v>
      </c>
      <c r="D42" s="20">
        <v>163861</v>
      </c>
      <c r="E42" s="20">
        <v>35369</v>
      </c>
      <c r="F42" s="20">
        <v>199230</v>
      </c>
      <c r="G42" s="43">
        <v>199461</v>
      </c>
    </row>
    <row r="43" spans="1:7" x14ac:dyDescent="0.2">
      <c r="A43" s="42" t="s">
        <v>182</v>
      </c>
      <c r="B43" s="20">
        <v>136479</v>
      </c>
      <c r="C43" s="20">
        <v>0</v>
      </c>
      <c r="D43" s="20">
        <v>141558</v>
      </c>
      <c r="E43" s="20">
        <v>30555</v>
      </c>
      <c r="F43" s="20">
        <v>172113</v>
      </c>
      <c r="G43" s="43">
        <v>172313</v>
      </c>
    </row>
    <row r="44" spans="1:7" x14ac:dyDescent="0.2">
      <c r="A44" s="42" t="s">
        <v>183</v>
      </c>
      <c r="B44" s="20">
        <v>462948</v>
      </c>
      <c r="C44" s="20">
        <v>0</v>
      </c>
      <c r="D44" s="20">
        <v>468474</v>
      </c>
      <c r="E44" s="20">
        <v>90473</v>
      </c>
      <c r="F44" s="20">
        <v>558947</v>
      </c>
      <c r="G44" s="43">
        <v>559594</v>
      </c>
    </row>
    <row r="45" spans="1:7" x14ac:dyDescent="0.2">
      <c r="A45" s="42" t="s">
        <v>184</v>
      </c>
      <c r="B45" s="20">
        <v>47553</v>
      </c>
      <c r="C45" s="20">
        <v>0</v>
      </c>
      <c r="D45" s="20">
        <v>48123</v>
      </c>
      <c r="E45" s="20">
        <v>8961</v>
      </c>
      <c r="F45" s="20">
        <v>57084</v>
      </c>
      <c r="G45" s="43">
        <v>57151</v>
      </c>
    </row>
    <row r="46" spans="1:7" x14ac:dyDescent="0.2">
      <c r="A46" s="42" t="s">
        <v>185</v>
      </c>
      <c r="B46" s="20">
        <v>192315</v>
      </c>
      <c r="C46" s="20">
        <v>0</v>
      </c>
      <c r="D46" s="20">
        <v>194609</v>
      </c>
      <c r="E46" s="20">
        <v>42006</v>
      </c>
      <c r="F46" s="20">
        <v>236615</v>
      </c>
      <c r="G46" s="43">
        <v>236889</v>
      </c>
    </row>
    <row r="47" spans="1:7" x14ac:dyDescent="0.2">
      <c r="A47" s="42" t="s">
        <v>186</v>
      </c>
      <c r="B47" s="20">
        <v>39046</v>
      </c>
      <c r="C47" s="20">
        <v>0</v>
      </c>
      <c r="D47" s="20">
        <v>39613</v>
      </c>
      <c r="E47" s="20">
        <v>8428</v>
      </c>
      <c r="F47" s="20">
        <v>48042</v>
      </c>
      <c r="G47" s="43">
        <v>48280</v>
      </c>
    </row>
    <row r="48" spans="1:7" x14ac:dyDescent="0.2">
      <c r="A48" s="42" t="s">
        <v>187</v>
      </c>
      <c r="B48" s="20">
        <v>258272</v>
      </c>
      <c r="C48" s="20">
        <v>0</v>
      </c>
      <c r="D48" s="20">
        <v>261349</v>
      </c>
      <c r="E48" s="20">
        <v>56411</v>
      </c>
      <c r="F48" s="20">
        <v>317760</v>
      </c>
      <c r="G48" s="43">
        <v>318128</v>
      </c>
    </row>
    <row r="49" spans="1:7" x14ac:dyDescent="0.2">
      <c r="A49" s="42" t="s">
        <v>188</v>
      </c>
      <c r="B49" s="20">
        <v>1126359</v>
      </c>
      <c r="C49" s="20">
        <v>0</v>
      </c>
      <c r="D49" s="20">
        <v>1142996</v>
      </c>
      <c r="E49" s="20">
        <v>242756</v>
      </c>
      <c r="F49" s="20">
        <v>1385753</v>
      </c>
      <c r="G49" s="43">
        <v>1387358</v>
      </c>
    </row>
    <row r="50" spans="1:7" x14ac:dyDescent="0.2">
      <c r="A50" s="42" t="s">
        <v>189</v>
      </c>
      <c r="B50" s="20">
        <v>127316</v>
      </c>
      <c r="C50" s="20">
        <v>0</v>
      </c>
      <c r="D50" s="20">
        <v>130910</v>
      </c>
      <c r="E50" s="20">
        <v>25726</v>
      </c>
      <c r="F50" s="20">
        <v>156636</v>
      </c>
      <c r="G50" s="43">
        <v>156817</v>
      </c>
    </row>
    <row r="51" spans="1:7" x14ac:dyDescent="0.2">
      <c r="A51" s="42" t="s">
        <v>190</v>
      </c>
      <c r="B51" s="20">
        <v>32787</v>
      </c>
      <c r="C51" s="20">
        <v>0</v>
      </c>
      <c r="D51" s="20">
        <v>33717</v>
      </c>
      <c r="E51" s="20">
        <v>6626</v>
      </c>
      <c r="F51" s="20">
        <v>40343</v>
      </c>
      <c r="G51" s="43">
        <v>41000</v>
      </c>
    </row>
    <row r="52" spans="1:7" x14ac:dyDescent="0.2">
      <c r="A52" s="42" t="s">
        <v>191</v>
      </c>
      <c r="B52" s="20">
        <v>308813</v>
      </c>
      <c r="C52" s="20">
        <v>0</v>
      </c>
      <c r="D52" s="20">
        <v>312493</v>
      </c>
      <c r="E52" s="20">
        <v>67451</v>
      </c>
      <c r="F52" s="20">
        <v>379943</v>
      </c>
      <c r="G52" s="43">
        <v>380383</v>
      </c>
    </row>
    <row r="53" spans="1:7" x14ac:dyDescent="0.2">
      <c r="A53" s="42" t="s">
        <v>192</v>
      </c>
      <c r="B53" s="20">
        <v>241300</v>
      </c>
      <c r="C53" s="20">
        <v>0</v>
      </c>
      <c r="D53" s="20">
        <v>244172</v>
      </c>
      <c r="E53" s="20">
        <v>52704</v>
      </c>
      <c r="F53" s="20">
        <v>296876</v>
      </c>
      <c r="G53" s="43">
        <v>297220</v>
      </c>
    </row>
    <row r="54" spans="1:7" x14ac:dyDescent="0.2">
      <c r="A54" s="42" t="s">
        <v>193</v>
      </c>
      <c r="B54" s="20">
        <v>82585</v>
      </c>
      <c r="C54" s="20">
        <v>0</v>
      </c>
      <c r="D54" s="20">
        <v>83575</v>
      </c>
      <c r="E54" s="20">
        <v>15562</v>
      </c>
      <c r="F54" s="20">
        <v>99137</v>
      </c>
      <c r="G54" s="43">
        <v>99252</v>
      </c>
    </row>
    <row r="55" spans="1:7" x14ac:dyDescent="0.2">
      <c r="A55" s="42" t="s">
        <v>194</v>
      </c>
      <c r="B55" s="20">
        <v>226055</v>
      </c>
      <c r="C55" s="20">
        <v>0</v>
      </c>
      <c r="D55" s="20">
        <v>228756</v>
      </c>
      <c r="E55" s="20">
        <v>42596</v>
      </c>
      <c r="F55" s="20">
        <v>271352</v>
      </c>
      <c r="G55" s="43">
        <v>271666</v>
      </c>
    </row>
    <row r="56" spans="1:7" x14ac:dyDescent="0.2">
      <c r="A56" s="42" t="s">
        <v>195</v>
      </c>
      <c r="B56" s="20">
        <v>34397</v>
      </c>
      <c r="C56" s="20">
        <v>0</v>
      </c>
      <c r="D56" s="20">
        <v>35373</v>
      </c>
      <c r="E56" s="20">
        <v>6951</v>
      </c>
      <c r="F56" s="20">
        <v>42324</v>
      </c>
      <c r="G56" s="43">
        <v>43013</v>
      </c>
    </row>
    <row r="57" spans="1:7" x14ac:dyDescent="0.2">
      <c r="A57" s="42" t="s">
        <v>196</v>
      </c>
      <c r="B57" s="20">
        <v>7141</v>
      </c>
      <c r="C57" s="20">
        <v>0</v>
      </c>
      <c r="D57" s="20">
        <v>6965</v>
      </c>
      <c r="E57" s="20">
        <v>1390</v>
      </c>
      <c r="F57" s="20">
        <v>8355</v>
      </c>
      <c r="G57" s="43">
        <v>8333</v>
      </c>
    </row>
    <row r="58" spans="1:7" x14ac:dyDescent="0.2">
      <c r="A58" s="42" t="s">
        <v>197</v>
      </c>
      <c r="B58" s="20">
        <v>16877</v>
      </c>
      <c r="C58" s="20">
        <v>0</v>
      </c>
      <c r="D58" s="20">
        <v>16961</v>
      </c>
      <c r="E58" s="20">
        <v>3386</v>
      </c>
      <c r="F58" s="20">
        <v>20346</v>
      </c>
      <c r="G58" s="43">
        <v>20413</v>
      </c>
    </row>
    <row r="59" spans="1:7" x14ac:dyDescent="0.2">
      <c r="A59" s="42" t="s">
        <v>198</v>
      </c>
      <c r="B59" s="20">
        <v>5050</v>
      </c>
      <c r="C59" s="20">
        <v>0</v>
      </c>
      <c r="D59" s="20">
        <v>5288</v>
      </c>
      <c r="E59" s="20">
        <v>1056</v>
      </c>
      <c r="F59" s="20">
        <v>6344</v>
      </c>
      <c r="G59" s="43">
        <v>6327</v>
      </c>
    </row>
    <row r="60" spans="1:7" x14ac:dyDescent="0.2">
      <c r="A60" s="42" t="s">
        <v>199</v>
      </c>
      <c r="B60" s="20">
        <v>132433</v>
      </c>
      <c r="C60" s="20">
        <v>0</v>
      </c>
      <c r="D60" s="20">
        <v>134008</v>
      </c>
      <c r="E60" s="20">
        <v>28925</v>
      </c>
      <c r="F60" s="20">
        <v>162933</v>
      </c>
      <c r="G60" s="43">
        <v>163121</v>
      </c>
    </row>
    <row r="61" spans="1:7" x14ac:dyDescent="0.2">
      <c r="A61" s="42" t="s">
        <v>200</v>
      </c>
      <c r="B61" s="20">
        <v>6579</v>
      </c>
      <c r="C61" s="20">
        <v>0</v>
      </c>
      <c r="D61" s="20">
        <v>6579</v>
      </c>
      <c r="E61" s="20">
        <v>0</v>
      </c>
      <c r="F61" s="20">
        <v>6579</v>
      </c>
      <c r="G61" s="43">
        <v>6579</v>
      </c>
    </row>
    <row r="62" spans="1:7" x14ac:dyDescent="0.2">
      <c r="A62" s="42" t="s">
        <v>201</v>
      </c>
      <c r="B62" s="20">
        <v>8945</v>
      </c>
      <c r="C62" s="20">
        <v>0</v>
      </c>
      <c r="D62" s="20">
        <v>8798</v>
      </c>
      <c r="E62" s="20">
        <v>1756</v>
      </c>
      <c r="F62" s="20">
        <v>10555</v>
      </c>
      <c r="G62" s="43">
        <v>10527</v>
      </c>
    </row>
    <row r="63" spans="1:7" x14ac:dyDescent="0.2">
      <c r="A63" s="42" t="s">
        <v>202</v>
      </c>
      <c r="B63" s="20">
        <v>99028</v>
      </c>
      <c r="C63" s="20">
        <v>0</v>
      </c>
      <c r="D63" s="20">
        <v>100006</v>
      </c>
      <c r="E63" s="20">
        <v>0</v>
      </c>
      <c r="F63" s="20">
        <v>100006</v>
      </c>
      <c r="G63" s="43">
        <v>100134</v>
      </c>
    </row>
    <row r="64" spans="1:7" x14ac:dyDescent="0.2">
      <c r="A64" s="42" t="s">
        <v>203</v>
      </c>
      <c r="B64" s="20">
        <v>10000</v>
      </c>
      <c r="C64" s="20">
        <v>0</v>
      </c>
      <c r="D64" s="20">
        <v>15000</v>
      </c>
      <c r="E64" s="20">
        <v>10000</v>
      </c>
      <c r="F64" s="20">
        <v>25000</v>
      </c>
      <c r="G64" s="43">
        <v>20000</v>
      </c>
    </row>
    <row r="65" spans="1:7" ht="15" customHeight="1" x14ac:dyDescent="0.2">
      <c r="A65" s="44" t="s">
        <v>204</v>
      </c>
      <c r="B65" s="45">
        <v>12764391</v>
      </c>
      <c r="C65" s="45">
        <v>0</v>
      </c>
      <c r="D65" s="45">
        <v>12937457</v>
      </c>
      <c r="E65" s="45">
        <v>2580001</v>
      </c>
      <c r="F65" s="45">
        <v>15517459</v>
      </c>
      <c r="G65" s="51">
        <v>15537429</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209</v>
      </c>
      <c r="B1" s="16"/>
      <c r="C1" s="16"/>
      <c r="D1" s="16"/>
      <c r="E1" s="16"/>
      <c r="F1" s="16"/>
      <c r="G1" s="15" t="s">
        <v>210</v>
      </c>
    </row>
    <row r="2" spans="1:7" x14ac:dyDescent="0.2">
      <c r="A2" s="17" t="s">
        <v>332</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266628</v>
      </c>
      <c r="C6" s="20">
        <v>0</v>
      </c>
      <c r="D6" s="20">
        <v>266591</v>
      </c>
      <c r="E6" s="20">
        <v>0</v>
      </c>
      <c r="F6" s="20">
        <v>266591</v>
      </c>
      <c r="G6" s="43" t="s">
        <v>368</v>
      </c>
    </row>
    <row r="7" spans="1:7" x14ac:dyDescent="0.2">
      <c r="A7" s="42" t="s">
        <v>146</v>
      </c>
      <c r="B7" s="20">
        <v>47422</v>
      </c>
      <c r="C7" s="20">
        <v>0</v>
      </c>
      <c r="D7" s="20">
        <v>47741</v>
      </c>
      <c r="E7" s="20">
        <v>0</v>
      </c>
      <c r="F7" s="20">
        <v>47741</v>
      </c>
      <c r="G7" s="43" t="s">
        <v>369</v>
      </c>
    </row>
    <row r="8" spans="1:7" x14ac:dyDescent="0.2">
      <c r="A8" s="42" t="s">
        <v>147</v>
      </c>
      <c r="B8" s="20">
        <v>345804</v>
      </c>
      <c r="C8" s="20">
        <v>0</v>
      </c>
      <c r="D8" s="20">
        <v>352562</v>
      </c>
      <c r="E8" s="20">
        <v>0</v>
      </c>
      <c r="F8" s="20">
        <v>352562</v>
      </c>
      <c r="G8" s="43" t="s">
        <v>370</v>
      </c>
    </row>
    <row r="9" spans="1:7" x14ac:dyDescent="0.2">
      <c r="A9" s="42" t="s">
        <v>148</v>
      </c>
      <c r="B9" s="20">
        <v>166871</v>
      </c>
      <c r="C9" s="20">
        <v>0</v>
      </c>
      <c r="D9" s="20">
        <v>163087</v>
      </c>
      <c r="E9" s="20">
        <v>0</v>
      </c>
      <c r="F9" s="20">
        <v>163087</v>
      </c>
      <c r="G9" s="43" t="s">
        <v>371</v>
      </c>
    </row>
    <row r="10" spans="1:7" x14ac:dyDescent="0.2">
      <c r="A10" s="42" t="s">
        <v>149</v>
      </c>
      <c r="B10" s="20">
        <v>1997325</v>
      </c>
      <c r="C10" s="20">
        <v>0</v>
      </c>
      <c r="D10" s="20">
        <v>2031881</v>
      </c>
      <c r="E10" s="20">
        <v>0</v>
      </c>
      <c r="F10" s="20">
        <v>2031881</v>
      </c>
      <c r="G10" s="43" t="s">
        <v>372</v>
      </c>
    </row>
    <row r="11" spans="1:7" x14ac:dyDescent="0.2">
      <c r="A11" s="42" t="s">
        <v>150</v>
      </c>
      <c r="B11" s="20">
        <v>153690</v>
      </c>
      <c r="C11" s="20">
        <v>0</v>
      </c>
      <c r="D11" s="20">
        <v>161224</v>
      </c>
      <c r="E11" s="20">
        <v>0</v>
      </c>
      <c r="F11" s="20">
        <v>161224</v>
      </c>
      <c r="G11" s="43" t="s">
        <v>373</v>
      </c>
    </row>
    <row r="12" spans="1:7" x14ac:dyDescent="0.2">
      <c r="A12" s="42" t="s">
        <v>151</v>
      </c>
      <c r="B12" s="20">
        <v>144530</v>
      </c>
      <c r="C12" s="20">
        <v>0</v>
      </c>
      <c r="D12" s="20">
        <v>154082</v>
      </c>
      <c r="E12" s="20">
        <v>0</v>
      </c>
      <c r="F12" s="20">
        <v>154082</v>
      </c>
      <c r="G12" s="43" t="s">
        <v>374</v>
      </c>
    </row>
    <row r="13" spans="1:7" x14ac:dyDescent="0.2">
      <c r="A13" s="42" t="s">
        <v>152</v>
      </c>
      <c r="B13" s="20">
        <v>54530</v>
      </c>
      <c r="C13" s="20">
        <v>0</v>
      </c>
      <c r="D13" s="20">
        <v>54066</v>
      </c>
      <c r="E13" s="20">
        <v>0</v>
      </c>
      <c r="F13" s="20">
        <v>54066</v>
      </c>
      <c r="G13" s="43" t="s">
        <v>375</v>
      </c>
    </row>
    <row r="14" spans="1:7" x14ac:dyDescent="0.2">
      <c r="A14" s="42" t="s">
        <v>153</v>
      </c>
      <c r="B14" s="20">
        <v>50469</v>
      </c>
      <c r="C14" s="20">
        <v>0</v>
      </c>
      <c r="D14" s="20">
        <v>48862</v>
      </c>
      <c r="E14" s="20">
        <v>0</v>
      </c>
      <c r="F14" s="20">
        <v>48862</v>
      </c>
      <c r="G14" s="43" t="s">
        <v>376</v>
      </c>
    </row>
    <row r="15" spans="1:7" x14ac:dyDescent="0.2">
      <c r="A15" s="42" t="s">
        <v>154</v>
      </c>
      <c r="B15" s="20">
        <v>920950</v>
      </c>
      <c r="C15" s="20">
        <v>0</v>
      </c>
      <c r="D15" s="20">
        <v>904994</v>
      </c>
      <c r="E15" s="20">
        <v>0</v>
      </c>
      <c r="F15" s="20">
        <v>904994</v>
      </c>
      <c r="G15" s="43" t="s">
        <v>377</v>
      </c>
    </row>
    <row r="16" spans="1:7" x14ac:dyDescent="0.2">
      <c r="A16" s="42" t="s">
        <v>155</v>
      </c>
      <c r="B16" s="20">
        <v>557817</v>
      </c>
      <c r="C16" s="20">
        <v>0</v>
      </c>
      <c r="D16" s="20">
        <v>568878</v>
      </c>
      <c r="E16" s="20">
        <v>0</v>
      </c>
      <c r="F16" s="20">
        <v>568878</v>
      </c>
      <c r="G16" s="43" t="s">
        <v>378</v>
      </c>
    </row>
    <row r="17" spans="1:7" x14ac:dyDescent="0.2">
      <c r="A17" s="42" t="s">
        <v>156</v>
      </c>
      <c r="B17" s="20">
        <v>54184</v>
      </c>
      <c r="C17" s="20">
        <v>0</v>
      </c>
      <c r="D17" s="20">
        <v>56518</v>
      </c>
      <c r="E17" s="20">
        <v>0</v>
      </c>
      <c r="F17" s="20">
        <v>56518</v>
      </c>
      <c r="G17" s="43" t="s">
        <v>379</v>
      </c>
    </row>
    <row r="18" spans="1:7" x14ac:dyDescent="0.2">
      <c r="A18" s="42" t="s">
        <v>157</v>
      </c>
      <c r="B18" s="20">
        <v>58907</v>
      </c>
      <c r="C18" s="20">
        <v>0</v>
      </c>
      <c r="D18" s="20">
        <v>57361</v>
      </c>
      <c r="E18" s="20">
        <v>0</v>
      </c>
      <c r="F18" s="20">
        <v>57361</v>
      </c>
      <c r="G18" s="43" t="s">
        <v>380</v>
      </c>
    </row>
    <row r="19" spans="1:7" x14ac:dyDescent="0.2">
      <c r="A19" s="42" t="s">
        <v>158</v>
      </c>
      <c r="B19" s="20">
        <v>668211</v>
      </c>
      <c r="C19" s="20">
        <v>0</v>
      </c>
      <c r="D19" s="20">
        <v>681068</v>
      </c>
      <c r="E19" s="20">
        <v>0</v>
      </c>
      <c r="F19" s="20">
        <v>681068</v>
      </c>
      <c r="G19" s="43" t="s">
        <v>381</v>
      </c>
    </row>
    <row r="20" spans="1:7" x14ac:dyDescent="0.2">
      <c r="A20" s="42" t="s">
        <v>159</v>
      </c>
      <c r="B20" s="20">
        <v>263699</v>
      </c>
      <c r="C20" s="20">
        <v>0</v>
      </c>
      <c r="D20" s="20">
        <v>251841</v>
      </c>
      <c r="E20" s="20">
        <v>0</v>
      </c>
      <c r="F20" s="20">
        <v>251841</v>
      </c>
      <c r="G20" s="43" t="s">
        <v>382</v>
      </c>
    </row>
    <row r="21" spans="1:7" x14ac:dyDescent="0.2">
      <c r="A21" s="42" t="s">
        <v>160</v>
      </c>
      <c r="B21" s="20">
        <v>102445</v>
      </c>
      <c r="C21" s="20">
        <v>0</v>
      </c>
      <c r="D21" s="20">
        <v>103039</v>
      </c>
      <c r="E21" s="20">
        <v>0</v>
      </c>
      <c r="F21" s="20">
        <v>103039</v>
      </c>
      <c r="G21" s="43" t="s">
        <v>383</v>
      </c>
    </row>
    <row r="22" spans="1:7" x14ac:dyDescent="0.2">
      <c r="A22" s="42" t="s">
        <v>161</v>
      </c>
      <c r="B22" s="20">
        <v>109281</v>
      </c>
      <c r="C22" s="20">
        <v>0</v>
      </c>
      <c r="D22" s="20">
        <v>111521</v>
      </c>
      <c r="E22" s="20">
        <v>0</v>
      </c>
      <c r="F22" s="20">
        <v>111521</v>
      </c>
      <c r="G22" s="43" t="s">
        <v>384</v>
      </c>
    </row>
    <row r="23" spans="1:7" x14ac:dyDescent="0.2">
      <c r="A23" s="42" t="s">
        <v>162</v>
      </c>
      <c r="B23" s="20">
        <v>272208</v>
      </c>
      <c r="C23" s="20">
        <v>0</v>
      </c>
      <c r="D23" s="20">
        <v>264778</v>
      </c>
      <c r="E23" s="20">
        <v>0</v>
      </c>
      <c r="F23" s="20">
        <v>264778</v>
      </c>
      <c r="G23" s="43" t="s">
        <v>385</v>
      </c>
    </row>
    <row r="24" spans="1:7" x14ac:dyDescent="0.2">
      <c r="A24" s="42" t="s">
        <v>163</v>
      </c>
      <c r="B24" s="20">
        <v>344704</v>
      </c>
      <c r="C24" s="20">
        <v>0</v>
      </c>
      <c r="D24" s="20">
        <v>363506</v>
      </c>
      <c r="E24" s="20">
        <v>0</v>
      </c>
      <c r="F24" s="20">
        <v>363506</v>
      </c>
      <c r="G24" s="43" t="s">
        <v>386</v>
      </c>
    </row>
    <row r="25" spans="1:7" x14ac:dyDescent="0.2">
      <c r="A25" s="42" t="s">
        <v>164</v>
      </c>
      <c r="B25" s="20">
        <v>55318</v>
      </c>
      <c r="C25" s="20">
        <v>0</v>
      </c>
      <c r="D25" s="20">
        <v>55699</v>
      </c>
      <c r="E25" s="20">
        <v>0</v>
      </c>
      <c r="F25" s="20">
        <v>55699</v>
      </c>
      <c r="G25" s="43" t="s">
        <v>387</v>
      </c>
    </row>
    <row r="26" spans="1:7" x14ac:dyDescent="0.2">
      <c r="A26" s="42" t="s">
        <v>165</v>
      </c>
      <c r="B26" s="20">
        <v>253988</v>
      </c>
      <c r="C26" s="20">
        <v>0</v>
      </c>
      <c r="D26" s="20">
        <v>282489</v>
      </c>
      <c r="E26" s="20">
        <v>0</v>
      </c>
      <c r="F26" s="20">
        <v>282489</v>
      </c>
      <c r="G26" s="43" t="s">
        <v>388</v>
      </c>
    </row>
    <row r="27" spans="1:7" x14ac:dyDescent="0.2">
      <c r="A27" s="42" t="s">
        <v>166</v>
      </c>
      <c r="B27" s="20">
        <v>242991</v>
      </c>
      <c r="C27" s="20">
        <v>0</v>
      </c>
      <c r="D27" s="20">
        <v>259426</v>
      </c>
      <c r="E27" s="20">
        <v>0</v>
      </c>
      <c r="F27" s="20">
        <v>259426</v>
      </c>
      <c r="G27" s="43" t="s">
        <v>389</v>
      </c>
    </row>
    <row r="28" spans="1:7" x14ac:dyDescent="0.2">
      <c r="A28" s="42" t="s">
        <v>167</v>
      </c>
      <c r="B28" s="20">
        <v>492431</v>
      </c>
      <c r="C28" s="20">
        <v>0</v>
      </c>
      <c r="D28" s="20">
        <v>483416</v>
      </c>
      <c r="E28" s="20">
        <v>0</v>
      </c>
      <c r="F28" s="20">
        <v>483416</v>
      </c>
      <c r="G28" s="43" t="s">
        <v>390</v>
      </c>
    </row>
    <row r="29" spans="1:7" x14ac:dyDescent="0.2">
      <c r="A29" s="42" t="s">
        <v>168</v>
      </c>
      <c r="B29" s="20">
        <v>174601</v>
      </c>
      <c r="C29" s="20">
        <v>0</v>
      </c>
      <c r="D29" s="20">
        <v>179634</v>
      </c>
      <c r="E29" s="20">
        <v>0</v>
      </c>
      <c r="F29" s="20">
        <v>179634</v>
      </c>
      <c r="G29" s="43" t="s">
        <v>391</v>
      </c>
    </row>
    <row r="30" spans="1:7" x14ac:dyDescent="0.2">
      <c r="A30" s="42" t="s">
        <v>169</v>
      </c>
      <c r="B30" s="20">
        <v>215748</v>
      </c>
      <c r="C30" s="20">
        <v>0</v>
      </c>
      <c r="D30" s="20">
        <v>224638</v>
      </c>
      <c r="E30" s="20">
        <v>0</v>
      </c>
      <c r="F30" s="20">
        <v>224638</v>
      </c>
      <c r="G30" s="43" t="s">
        <v>392</v>
      </c>
    </row>
    <row r="31" spans="1:7" x14ac:dyDescent="0.2">
      <c r="A31" s="42" t="s">
        <v>170</v>
      </c>
      <c r="B31" s="20">
        <v>259609</v>
      </c>
      <c r="C31" s="20">
        <v>0</v>
      </c>
      <c r="D31" s="20">
        <v>261309</v>
      </c>
      <c r="E31" s="20">
        <v>0</v>
      </c>
      <c r="F31" s="20">
        <v>261309</v>
      </c>
      <c r="G31" s="43" t="s">
        <v>393</v>
      </c>
    </row>
    <row r="32" spans="1:7" x14ac:dyDescent="0.2">
      <c r="A32" s="42" t="s">
        <v>171</v>
      </c>
      <c r="B32" s="20">
        <v>50504</v>
      </c>
      <c r="C32" s="20">
        <v>0</v>
      </c>
      <c r="D32" s="20">
        <v>51290</v>
      </c>
      <c r="E32" s="20">
        <v>0</v>
      </c>
      <c r="F32" s="20">
        <v>51290</v>
      </c>
      <c r="G32" s="43" t="s">
        <v>394</v>
      </c>
    </row>
    <row r="33" spans="1:7" x14ac:dyDescent="0.2">
      <c r="A33" s="42" t="s">
        <v>172</v>
      </c>
      <c r="B33" s="20">
        <v>74443</v>
      </c>
      <c r="C33" s="20">
        <v>0</v>
      </c>
      <c r="D33" s="20">
        <v>67892</v>
      </c>
      <c r="E33" s="20">
        <v>0</v>
      </c>
      <c r="F33" s="20">
        <v>67892</v>
      </c>
      <c r="G33" s="43" t="s">
        <v>395</v>
      </c>
    </row>
    <row r="34" spans="1:7" x14ac:dyDescent="0.2">
      <c r="A34" s="42" t="s">
        <v>173</v>
      </c>
      <c r="B34" s="20">
        <v>139245</v>
      </c>
      <c r="C34" s="20">
        <v>0</v>
      </c>
      <c r="D34" s="20">
        <v>147937</v>
      </c>
      <c r="E34" s="20">
        <v>0</v>
      </c>
      <c r="F34" s="20">
        <v>147937</v>
      </c>
      <c r="G34" s="43" t="s">
        <v>396</v>
      </c>
    </row>
    <row r="35" spans="1:7" x14ac:dyDescent="0.2">
      <c r="A35" s="42" t="s">
        <v>174</v>
      </c>
      <c r="B35" s="20">
        <v>46337</v>
      </c>
      <c r="C35" s="20">
        <v>0</v>
      </c>
      <c r="D35" s="20">
        <v>44255</v>
      </c>
      <c r="E35" s="20">
        <v>0</v>
      </c>
      <c r="F35" s="20">
        <v>44255</v>
      </c>
      <c r="G35" s="43" t="s">
        <v>397</v>
      </c>
    </row>
    <row r="36" spans="1:7" x14ac:dyDescent="0.2">
      <c r="A36" s="42" t="s">
        <v>175</v>
      </c>
      <c r="B36" s="20">
        <v>368432</v>
      </c>
      <c r="C36" s="20">
        <v>0</v>
      </c>
      <c r="D36" s="20">
        <v>359698</v>
      </c>
      <c r="E36" s="20">
        <v>0</v>
      </c>
      <c r="F36" s="20">
        <v>359698</v>
      </c>
      <c r="G36" s="43" t="s">
        <v>398</v>
      </c>
    </row>
    <row r="37" spans="1:7" x14ac:dyDescent="0.2">
      <c r="A37" s="42" t="s">
        <v>176</v>
      </c>
      <c r="B37" s="20">
        <v>130745</v>
      </c>
      <c r="C37" s="20">
        <v>0</v>
      </c>
      <c r="D37" s="20">
        <v>129580</v>
      </c>
      <c r="E37" s="20">
        <v>0</v>
      </c>
      <c r="F37" s="20">
        <v>129580</v>
      </c>
      <c r="G37" s="43" t="s">
        <v>399</v>
      </c>
    </row>
    <row r="38" spans="1:7" x14ac:dyDescent="0.2">
      <c r="A38" s="42" t="s">
        <v>177</v>
      </c>
      <c r="B38" s="20">
        <v>1196039</v>
      </c>
      <c r="C38" s="20">
        <v>0</v>
      </c>
      <c r="D38" s="20">
        <v>1220729</v>
      </c>
      <c r="E38" s="20">
        <v>0</v>
      </c>
      <c r="F38" s="20">
        <v>1220729</v>
      </c>
      <c r="G38" s="43" t="s">
        <v>400</v>
      </c>
    </row>
    <row r="39" spans="1:7" x14ac:dyDescent="0.2">
      <c r="A39" s="42" t="s">
        <v>178</v>
      </c>
      <c r="B39" s="20">
        <v>476487</v>
      </c>
      <c r="C39" s="20">
        <v>0</v>
      </c>
      <c r="D39" s="20">
        <v>493677</v>
      </c>
      <c r="E39" s="20">
        <v>0</v>
      </c>
      <c r="F39" s="20">
        <v>493677</v>
      </c>
      <c r="G39" s="43" t="s">
        <v>401</v>
      </c>
    </row>
    <row r="40" spans="1:7" x14ac:dyDescent="0.2">
      <c r="A40" s="42" t="s">
        <v>179</v>
      </c>
      <c r="B40" s="20">
        <v>40357</v>
      </c>
      <c r="C40" s="20">
        <v>0</v>
      </c>
      <c r="D40" s="20">
        <v>43310</v>
      </c>
      <c r="E40" s="20">
        <v>0</v>
      </c>
      <c r="F40" s="20">
        <v>43310</v>
      </c>
      <c r="G40" s="43" t="s">
        <v>402</v>
      </c>
    </row>
    <row r="41" spans="1:7" x14ac:dyDescent="0.2">
      <c r="A41" s="42" t="s">
        <v>180</v>
      </c>
      <c r="B41" s="20">
        <v>593749</v>
      </c>
      <c r="C41" s="20">
        <v>0</v>
      </c>
      <c r="D41" s="20">
        <v>598242</v>
      </c>
      <c r="E41" s="20">
        <v>0</v>
      </c>
      <c r="F41" s="20">
        <v>598242</v>
      </c>
      <c r="G41" s="43" t="s">
        <v>403</v>
      </c>
    </row>
    <row r="42" spans="1:7" x14ac:dyDescent="0.2">
      <c r="A42" s="42" t="s">
        <v>181</v>
      </c>
      <c r="B42" s="20">
        <v>199914</v>
      </c>
      <c r="C42" s="20">
        <v>0</v>
      </c>
      <c r="D42" s="20">
        <v>201434</v>
      </c>
      <c r="E42" s="20">
        <v>0</v>
      </c>
      <c r="F42" s="20">
        <v>201434</v>
      </c>
      <c r="G42" s="43" t="s">
        <v>404</v>
      </c>
    </row>
    <row r="43" spans="1:7" x14ac:dyDescent="0.2">
      <c r="A43" s="42" t="s">
        <v>182</v>
      </c>
      <c r="B43" s="20">
        <v>150328</v>
      </c>
      <c r="C43" s="20">
        <v>0</v>
      </c>
      <c r="D43" s="20">
        <v>146532</v>
      </c>
      <c r="E43" s="20">
        <v>0</v>
      </c>
      <c r="F43" s="20">
        <v>146532</v>
      </c>
      <c r="G43" s="43" t="s">
        <v>405</v>
      </c>
    </row>
    <row r="44" spans="1:7" x14ac:dyDescent="0.2">
      <c r="A44" s="42" t="s">
        <v>183</v>
      </c>
      <c r="B44" s="20">
        <v>662525</v>
      </c>
      <c r="C44" s="20">
        <v>0</v>
      </c>
      <c r="D44" s="20">
        <v>708625</v>
      </c>
      <c r="E44" s="20">
        <v>0</v>
      </c>
      <c r="F44" s="20">
        <v>708625</v>
      </c>
      <c r="G44" s="43" t="s">
        <v>406</v>
      </c>
    </row>
    <row r="45" spans="1:7" x14ac:dyDescent="0.2">
      <c r="A45" s="42" t="s">
        <v>184</v>
      </c>
      <c r="B45" s="20">
        <v>55157</v>
      </c>
      <c r="C45" s="20">
        <v>0</v>
      </c>
      <c r="D45" s="20">
        <v>55523</v>
      </c>
      <c r="E45" s="20">
        <v>0</v>
      </c>
      <c r="F45" s="20">
        <v>55523</v>
      </c>
      <c r="G45" s="43" t="s">
        <v>407</v>
      </c>
    </row>
    <row r="46" spans="1:7" x14ac:dyDescent="0.2">
      <c r="A46" s="42" t="s">
        <v>185</v>
      </c>
      <c r="B46" s="20">
        <v>276490</v>
      </c>
      <c r="C46" s="20">
        <v>0</v>
      </c>
      <c r="D46" s="20">
        <v>269614</v>
      </c>
      <c r="E46" s="20">
        <v>0</v>
      </c>
      <c r="F46" s="20">
        <v>269614</v>
      </c>
      <c r="G46" s="43" t="s">
        <v>408</v>
      </c>
    </row>
    <row r="47" spans="1:7" x14ac:dyDescent="0.2">
      <c r="A47" s="42" t="s">
        <v>186</v>
      </c>
      <c r="B47" s="20">
        <v>50504</v>
      </c>
      <c r="C47" s="20">
        <v>0</v>
      </c>
      <c r="D47" s="20">
        <v>51082</v>
      </c>
      <c r="E47" s="20">
        <v>0</v>
      </c>
      <c r="F47" s="20">
        <v>51082</v>
      </c>
      <c r="G47" s="43" t="s">
        <v>409</v>
      </c>
    </row>
    <row r="48" spans="1:7" x14ac:dyDescent="0.2">
      <c r="A48" s="42" t="s">
        <v>187</v>
      </c>
      <c r="B48" s="20">
        <v>328541</v>
      </c>
      <c r="C48" s="20">
        <v>0</v>
      </c>
      <c r="D48" s="20">
        <v>323518</v>
      </c>
      <c r="E48" s="20">
        <v>0</v>
      </c>
      <c r="F48" s="20">
        <v>323518</v>
      </c>
      <c r="G48" s="43" t="s">
        <v>410</v>
      </c>
    </row>
    <row r="49" spans="1:7" x14ac:dyDescent="0.2">
      <c r="A49" s="42" t="s">
        <v>188</v>
      </c>
      <c r="B49" s="20">
        <v>1625609</v>
      </c>
      <c r="C49" s="20">
        <v>0</v>
      </c>
      <c r="D49" s="20">
        <v>1591964</v>
      </c>
      <c r="E49" s="20">
        <v>0</v>
      </c>
      <c r="F49" s="20">
        <v>1591964</v>
      </c>
      <c r="G49" s="43" t="s">
        <v>411</v>
      </c>
    </row>
    <row r="50" spans="1:7" x14ac:dyDescent="0.2">
      <c r="A50" s="42" t="s">
        <v>189</v>
      </c>
      <c r="B50" s="20">
        <v>82297</v>
      </c>
      <c r="C50" s="20">
        <v>0</v>
      </c>
      <c r="D50" s="20">
        <v>86949</v>
      </c>
      <c r="E50" s="20">
        <v>0</v>
      </c>
      <c r="F50" s="20">
        <v>86949</v>
      </c>
      <c r="G50" s="43" t="s">
        <v>412</v>
      </c>
    </row>
    <row r="51" spans="1:7" x14ac:dyDescent="0.2">
      <c r="A51" s="42" t="s">
        <v>190</v>
      </c>
      <c r="B51" s="20">
        <v>37700</v>
      </c>
      <c r="C51" s="20">
        <v>0</v>
      </c>
      <c r="D51" s="20">
        <v>37467</v>
      </c>
      <c r="E51" s="20">
        <v>0</v>
      </c>
      <c r="F51" s="20">
        <v>37467</v>
      </c>
      <c r="G51" s="43" t="s">
        <v>413</v>
      </c>
    </row>
    <row r="52" spans="1:7" x14ac:dyDescent="0.2">
      <c r="A52" s="42" t="s">
        <v>191</v>
      </c>
      <c r="B52" s="20">
        <v>277073</v>
      </c>
      <c r="C52" s="20">
        <v>0</v>
      </c>
      <c r="D52" s="20">
        <v>291715</v>
      </c>
      <c r="E52" s="20">
        <v>0</v>
      </c>
      <c r="F52" s="20">
        <v>291715</v>
      </c>
      <c r="G52" s="43" t="s">
        <v>414</v>
      </c>
    </row>
    <row r="53" spans="1:7" x14ac:dyDescent="0.2">
      <c r="A53" s="42" t="s">
        <v>192</v>
      </c>
      <c r="B53" s="20">
        <v>250340</v>
      </c>
      <c r="C53" s="20">
        <v>0</v>
      </c>
      <c r="D53" s="20">
        <v>275961</v>
      </c>
      <c r="E53" s="20">
        <v>0</v>
      </c>
      <c r="F53" s="20">
        <v>275961</v>
      </c>
      <c r="G53" s="43" t="s">
        <v>415</v>
      </c>
    </row>
    <row r="54" spans="1:7" x14ac:dyDescent="0.2">
      <c r="A54" s="42" t="s">
        <v>193</v>
      </c>
      <c r="B54" s="20">
        <v>101239</v>
      </c>
      <c r="C54" s="20">
        <v>0</v>
      </c>
      <c r="D54" s="20">
        <v>98771</v>
      </c>
      <c r="E54" s="20">
        <v>0</v>
      </c>
      <c r="F54" s="20">
        <v>98771</v>
      </c>
      <c r="G54" s="43" t="s">
        <v>416</v>
      </c>
    </row>
    <row r="55" spans="1:7" x14ac:dyDescent="0.2">
      <c r="A55" s="42" t="s">
        <v>194</v>
      </c>
      <c r="B55" s="20">
        <v>205539</v>
      </c>
      <c r="C55" s="20">
        <v>0</v>
      </c>
      <c r="D55" s="20">
        <v>211805</v>
      </c>
      <c r="E55" s="20">
        <v>0</v>
      </c>
      <c r="F55" s="20">
        <v>211805</v>
      </c>
      <c r="G55" s="43" t="s">
        <v>417</v>
      </c>
    </row>
    <row r="56" spans="1:7" x14ac:dyDescent="0.2">
      <c r="A56" s="42" t="s">
        <v>195</v>
      </c>
      <c r="B56" s="20">
        <v>40151</v>
      </c>
      <c r="C56" s="20">
        <v>0</v>
      </c>
      <c r="D56" s="20">
        <v>39720</v>
      </c>
      <c r="E56" s="20">
        <v>0</v>
      </c>
      <c r="F56" s="20">
        <v>39720</v>
      </c>
      <c r="G56" s="43" t="s">
        <v>418</v>
      </c>
    </row>
    <row r="57" spans="1:7" x14ac:dyDescent="0.2">
      <c r="A57" s="42" t="s">
        <v>196</v>
      </c>
      <c r="B57" s="20">
        <v>20008</v>
      </c>
      <c r="C57" s="20">
        <v>0</v>
      </c>
      <c r="D57" s="20">
        <v>20291</v>
      </c>
      <c r="E57" s="20">
        <v>0</v>
      </c>
      <c r="F57" s="20">
        <v>20291</v>
      </c>
      <c r="G57" s="43" t="s">
        <v>419</v>
      </c>
    </row>
    <row r="58" spans="1:7" x14ac:dyDescent="0.2">
      <c r="A58" s="42" t="s">
        <v>197</v>
      </c>
      <c r="B58" s="20">
        <v>21679</v>
      </c>
      <c r="C58" s="20">
        <v>0</v>
      </c>
      <c r="D58" s="20">
        <v>21985</v>
      </c>
      <c r="E58" s="20">
        <v>0</v>
      </c>
      <c r="F58" s="20">
        <v>21985</v>
      </c>
      <c r="G58" s="43" t="s">
        <v>420</v>
      </c>
    </row>
    <row r="59" spans="1:7" x14ac:dyDescent="0.2">
      <c r="A59" s="42" t="s">
        <v>198</v>
      </c>
      <c r="B59" s="20">
        <v>12094</v>
      </c>
      <c r="C59" s="20">
        <v>0</v>
      </c>
      <c r="D59" s="20">
        <v>12265</v>
      </c>
      <c r="E59" s="20">
        <v>0</v>
      </c>
      <c r="F59" s="20">
        <v>12265</v>
      </c>
      <c r="G59" s="43" t="s">
        <v>421</v>
      </c>
    </row>
    <row r="60" spans="1:7" x14ac:dyDescent="0.2">
      <c r="A60" s="42" t="s">
        <v>199</v>
      </c>
      <c r="B60" s="20">
        <v>391343</v>
      </c>
      <c r="C60" s="20">
        <v>0</v>
      </c>
      <c r="D60" s="20">
        <v>412451</v>
      </c>
      <c r="E60" s="20">
        <v>0</v>
      </c>
      <c r="F60" s="20">
        <v>412451</v>
      </c>
      <c r="G60" s="43" t="s">
        <v>422</v>
      </c>
    </row>
    <row r="61" spans="1:7" x14ac:dyDescent="0.2">
      <c r="A61" s="42" t="s">
        <v>200</v>
      </c>
      <c r="B61" s="20">
        <v>1000</v>
      </c>
      <c r="C61" s="20">
        <v>0</v>
      </c>
      <c r="D61" s="20">
        <v>1000</v>
      </c>
      <c r="E61" s="20">
        <v>0</v>
      </c>
      <c r="F61" s="20">
        <v>1000</v>
      </c>
      <c r="G61" s="43" t="s">
        <v>423</v>
      </c>
    </row>
    <row r="62" spans="1:7" x14ac:dyDescent="0.2">
      <c r="A62" s="42" t="s">
        <v>201</v>
      </c>
      <c r="B62" s="20">
        <v>10438</v>
      </c>
      <c r="C62" s="20">
        <v>0</v>
      </c>
      <c r="D62" s="20">
        <v>10586</v>
      </c>
      <c r="E62" s="20">
        <v>0</v>
      </c>
      <c r="F62" s="20">
        <v>10586</v>
      </c>
      <c r="G62" s="43" t="s">
        <v>424</v>
      </c>
    </row>
    <row r="63" spans="1:7" x14ac:dyDescent="0.2">
      <c r="A63" s="42" t="s">
        <v>202</v>
      </c>
      <c r="B63" s="20">
        <v>114134</v>
      </c>
      <c r="C63" s="20">
        <v>0</v>
      </c>
      <c r="D63" s="20">
        <v>115723</v>
      </c>
      <c r="E63" s="20">
        <v>0</v>
      </c>
      <c r="F63" s="20">
        <v>115723</v>
      </c>
      <c r="G63" s="43" t="s">
        <v>425</v>
      </c>
    </row>
    <row r="64" spans="1:7" x14ac:dyDescent="0.2">
      <c r="A64" s="42" t="s">
        <v>203</v>
      </c>
      <c r="B64" s="20">
        <v>5000</v>
      </c>
      <c r="C64" s="20">
        <v>0</v>
      </c>
      <c r="D64" s="20">
        <v>5000</v>
      </c>
      <c r="E64" s="20">
        <v>0</v>
      </c>
      <c r="F64" s="20">
        <v>5000</v>
      </c>
      <c r="G64" s="43" t="s">
        <v>426</v>
      </c>
    </row>
    <row r="65" spans="1:7" ht="15" customHeight="1" x14ac:dyDescent="0.2">
      <c r="A65" s="44" t="s">
        <v>204</v>
      </c>
      <c r="B65" s="45">
        <v>16309802</v>
      </c>
      <c r="C65" s="45">
        <v>0</v>
      </c>
      <c r="D65" s="45">
        <v>16536802</v>
      </c>
      <c r="E65" s="45">
        <v>0</v>
      </c>
      <c r="F65" s="45">
        <v>16536802</v>
      </c>
      <c r="G65" s="46" t="s">
        <v>427</v>
      </c>
    </row>
    <row r="66" spans="1:7" ht="15" customHeight="1" x14ac:dyDescent="0.2">
      <c r="A66" s="101" t="s">
        <v>205</v>
      </c>
      <c r="B66" s="101"/>
      <c r="C66" s="101"/>
      <c r="D66" s="101"/>
      <c r="E66" s="101"/>
      <c r="F66" s="101"/>
      <c r="G66" s="101"/>
    </row>
    <row r="67" spans="1:7" ht="15" customHeight="1" x14ac:dyDescent="0.2">
      <c r="A67" s="103" t="s">
        <v>211</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209</v>
      </c>
      <c r="B1" s="16"/>
      <c r="C1" s="16"/>
      <c r="D1" s="16"/>
      <c r="E1" s="16"/>
      <c r="F1" s="16"/>
      <c r="G1" s="15" t="s">
        <v>212</v>
      </c>
    </row>
    <row r="2" spans="1:7" x14ac:dyDescent="0.2">
      <c r="A2" s="17" t="s">
        <v>333</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35794</v>
      </c>
      <c r="C6" s="20">
        <v>0</v>
      </c>
      <c r="D6" s="20">
        <v>36047</v>
      </c>
      <c r="E6" s="20">
        <v>0</v>
      </c>
      <c r="F6" s="20">
        <v>36047</v>
      </c>
      <c r="G6" s="43">
        <v>36583</v>
      </c>
    </row>
    <row r="7" spans="1:7" x14ac:dyDescent="0.2">
      <c r="A7" s="42" t="s">
        <v>146</v>
      </c>
      <c r="B7" s="20">
        <v>10299</v>
      </c>
      <c r="C7" s="20">
        <v>0</v>
      </c>
      <c r="D7" s="20">
        <v>10421</v>
      </c>
      <c r="E7" s="20">
        <v>0</v>
      </c>
      <c r="F7" s="20">
        <v>10421</v>
      </c>
      <c r="G7" s="43">
        <v>10515</v>
      </c>
    </row>
    <row r="8" spans="1:7" x14ac:dyDescent="0.2">
      <c r="A8" s="42" t="s">
        <v>147</v>
      </c>
      <c r="B8" s="20">
        <v>41740</v>
      </c>
      <c r="C8" s="20">
        <v>0</v>
      </c>
      <c r="D8" s="20">
        <v>44995</v>
      </c>
      <c r="E8" s="20">
        <v>0</v>
      </c>
      <c r="F8" s="20">
        <v>44995</v>
      </c>
      <c r="G8" s="43">
        <v>47726</v>
      </c>
    </row>
    <row r="9" spans="1:7" x14ac:dyDescent="0.2">
      <c r="A9" s="42" t="s">
        <v>148</v>
      </c>
      <c r="B9" s="20">
        <v>22039</v>
      </c>
      <c r="C9" s="20">
        <v>0</v>
      </c>
      <c r="D9" s="20">
        <v>22210</v>
      </c>
      <c r="E9" s="20">
        <v>0</v>
      </c>
      <c r="F9" s="20">
        <v>22210</v>
      </c>
      <c r="G9" s="43">
        <v>22619</v>
      </c>
    </row>
    <row r="10" spans="1:7" x14ac:dyDescent="0.2">
      <c r="A10" s="42" t="s">
        <v>149</v>
      </c>
      <c r="B10" s="20">
        <v>238042</v>
      </c>
      <c r="C10" s="20">
        <v>0</v>
      </c>
      <c r="D10" s="20">
        <v>234933</v>
      </c>
      <c r="E10" s="20">
        <v>0</v>
      </c>
      <c r="F10" s="20">
        <v>234933</v>
      </c>
      <c r="G10" s="43">
        <v>235364</v>
      </c>
    </row>
    <row r="11" spans="1:7" x14ac:dyDescent="0.2">
      <c r="A11" s="42" t="s">
        <v>150</v>
      </c>
      <c r="B11" s="20">
        <v>24562</v>
      </c>
      <c r="C11" s="20">
        <v>0</v>
      </c>
      <c r="D11" s="20">
        <v>24961</v>
      </c>
      <c r="E11" s="20">
        <v>0</v>
      </c>
      <c r="F11" s="20">
        <v>24961</v>
      </c>
      <c r="G11" s="43">
        <v>25337</v>
      </c>
    </row>
    <row r="12" spans="1:7" x14ac:dyDescent="0.2">
      <c r="A12" s="42" t="s">
        <v>151</v>
      </c>
      <c r="B12" s="20">
        <v>18189</v>
      </c>
      <c r="C12" s="20">
        <v>0</v>
      </c>
      <c r="D12" s="20">
        <v>18239</v>
      </c>
      <c r="E12" s="20">
        <v>0</v>
      </c>
      <c r="F12" s="20">
        <v>18239</v>
      </c>
      <c r="G12" s="43">
        <v>17855</v>
      </c>
    </row>
    <row r="13" spans="1:7" x14ac:dyDescent="0.2">
      <c r="A13" s="42" t="s">
        <v>152</v>
      </c>
      <c r="B13" s="20">
        <v>10299</v>
      </c>
      <c r="C13" s="20">
        <v>0</v>
      </c>
      <c r="D13" s="20">
        <v>10421</v>
      </c>
      <c r="E13" s="20">
        <v>0</v>
      </c>
      <c r="F13" s="20">
        <v>10421</v>
      </c>
      <c r="G13" s="43">
        <v>10515</v>
      </c>
    </row>
    <row r="14" spans="1:7" x14ac:dyDescent="0.2">
      <c r="A14" s="42" t="s">
        <v>153</v>
      </c>
      <c r="B14" s="20">
        <v>10299</v>
      </c>
      <c r="C14" s="20">
        <v>0</v>
      </c>
      <c r="D14" s="20">
        <v>10421</v>
      </c>
      <c r="E14" s="20">
        <v>0</v>
      </c>
      <c r="F14" s="20">
        <v>10421</v>
      </c>
      <c r="G14" s="43">
        <v>10515</v>
      </c>
    </row>
    <row r="15" spans="1:7" x14ac:dyDescent="0.2">
      <c r="A15" s="42" t="s">
        <v>154</v>
      </c>
      <c r="B15" s="20">
        <v>110918</v>
      </c>
      <c r="C15" s="20">
        <v>0</v>
      </c>
      <c r="D15" s="20">
        <v>113721</v>
      </c>
      <c r="E15" s="20">
        <v>0</v>
      </c>
      <c r="F15" s="20">
        <v>113721</v>
      </c>
      <c r="G15" s="43">
        <v>117867</v>
      </c>
    </row>
    <row r="16" spans="1:7" x14ac:dyDescent="0.2">
      <c r="A16" s="42" t="s">
        <v>155</v>
      </c>
      <c r="B16" s="20">
        <v>67441</v>
      </c>
      <c r="C16" s="20">
        <v>0</v>
      </c>
      <c r="D16" s="20">
        <v>71603</v>
      </c>
      <c r="E16" s="20">
        <v>0</v>
      </c>
      <c r="F16" s="20">
        <v>71603</v>
      </c>
      <c r="G16" s="43">
        <v>75236</v>
      </c>
    </row>
    <row r="17" spans="1:7" x14ac:dyDescent="0.2">
      <c r="A17" s="42" t="s">
        <v>156</v>
      </c>
      <c r="B17" s="20">
        <v>10299</v>
      </c>
      <c r="C17" s="20">
        <v>0</v>
      </c>
      <c r="D17" s="20">
        <v>10421</v>
      </c>
      <c r="E17" s="20">
        <v>0</v>
      </c>
      <c r="F17" s="20">
        <v>10421</v>
      </c>
      <c r="G17" s="43">
        <v>10515</v>
      </c>
    </row>
    <row r="18" spans="1:7" x14ac:dyDescent="0.2">
      <c r="A18" s="42" t="s">
        <v>157</v>
      </c>
      <c r="B18" s="20">
        <v>10299</v>
      </c>
      <c r="C18" s="20">
        <v>0</v>
      </c>
      <c r="D18" s="20">
        <v>10421</v>
      </c>
      <c r="E18" s="20">
        <v>0</v>
      </c>
      <c r="F18" s="20">
        <v>10421</v>
      </c>
      <c r="G18" s="43">
        <v>10515</v>
      </c>
    </row>
    <row r="19" spans="1:7" x14ac:dyDescent="0.2">
      <c r="A19" s="42" t="s">
        <v>158</v>
      </c>
      <c r="B19" s="20">
        <v>78181</v>
      </c>
      <c r="C19" s="20">
        <v>0</v>
      </c>
      <c r="D19" s="20">
        <v>76827</v>
      </c>
      <c r="E19" s="20">
        <v>0</v>
      </c>
      <c r="F19" s="20">
        <v>76827</v>
      </c>
      <c r="G19" s="43">
        <v>74762</v>
      </c>
    </row>
    <row r="20" spans="1:7" x14ac:dyDescent="0.2">
      <c r="A20" s="42" t="s">
        <v>159</v>
      </c>
      <c r="B20" s="20">
        <v>38410</v>
      </c>
      <c r="C20" s="20">
        <v>0</v>
      </c>
      <c r="D20" s="20">
        <v>37638</v>
      </c>
      <c r="E20" s="20">
        <v>0</v>
      </c>
      <c r="F20" s="20">
        <v>37638</v>
      </c>
      <c r="G20" s="43">
        <v>38091</v>
      </c>
    </row>
    <row r="21" spans="1:7" x14ac:dyDescent="0.2">
      <c r="A21" s="42" t="s">
        <v>160</v>
      </c>
      <c r="B21" s="20">
        <v>15954</v>
      </c>
      <c r="C21" s="20">
        <v>0</v>
      </c>
      <c r="D21" s="20">
        <v>15950</v>
      </c>
      <c r="E21" s="20">
        <v>0</v>
      </c>
      <c r="F21" s="20">
        <v>15950</v>
      </c>
      <c r="G21" s="43">
        <v>15834</v>
      </c>
    </row>
    <row r="22" spans="1:7" x14ac:dyDescent="0.2">
      <c r="A22" s="42" t="s">
        <v>161</v>
      </c>
      <c r="B22" s="20">
        <v>16353</v>
      </c>
      <c r="C22" s="20">
        <v>0</v>
      </c>
      <c r="D22" s="20">
        <v>16479</v>
      </c>
      <c r="E22" s="20">
        <v>0</v>
      </c>
      <c r="F22" s="20">
        <v>16479</v>
      </c>
      <c r="G22" s="43">
        <v>16406</v>
      </c>
    </row>
    <row r="23" spans="1:7" x14ac:dyDescent="0.2">
      <c r="A23" s="42" t="s">
        <v>162</v>
      </c>
      <c r="B23" s="20">
        <v>32704</v>
      </c>
      <c r="C23" s="20">
        <v>0</v>
      </c>
      <c r="D23" s="20">
        <v>32213</v>
      </c>
      <c r="E23" s="20">
        <v>0</v>
      </c>
      <c r="F23" s="20">
        <v>32213</v>
      </c>
      <c r="G23" s="43">
        <v>31989</v>
      </c>
    </row>
    <row r="24" spans="1:7" x14ac:dyDescent="0.2">
      <c r="A24" s="42" t="s">
        <v>163</v>
      </c>
      <c r="B24" s="20">
        <v>44341</v>
      </c>
      <c r="C24" s="20">
        <v>0</v>
      </c>
      <c r="D24" s="20">
        <v>45278</v>
      </c>
      <c r="E24" s="20">
        <v>0</v>
      </c>
      <c r="F24" s="20">
        <v>45278</v>
      </c>
      <c r="G24" s="43">
        <v>44519</v>
      </c>
    </row>
    <row r="25" spans="1:7" x14ac:dyDescent="0.2">
      <c r="A25" s="42" t="s">
        <v>164</v>
      </c>
      <c r="B25" s="20">
        <v>10299</v>
      </c>
      <c r="C25" s="20">
        <v>0</v>
      </c>
      <c r="D25" s="20">
        <v>10421</v>
      </c>
      <c r="E25" s="20">
        <v>0</v>
      </c>
      <c r="F25" s="20">
        <v>10421</v>
      </c>
      <c r="G25" s="43">
        <v>10515</v>
      </c>
    </row>
    <row r="26" spans="1:7" x14ac:dyDescent="0.2">
      <c r="A26" s="42" t="s">
        <v>165</v>
      </c>
      <c r="B26" s="20">
        <v>28719</v>
      </c>
      <c r="C26" s="20">
        <v>0</v>
      </c>
      <c r="D26" s="20">
        <v>29644</v>
      </c>
      <c r="E26" s="20">
        <v>0</v>
      </c>
      <c r="F26" s="20">
        <v>29644</v>
      </c>
      <c r="G26" s="43">
        <v>29385</v>
      </c>
    </row>
    <row r="27" spans="1:7" x14ac:dyDescent="0.2">
      <c r="A27" s="42" t="s">
        <v>166</v>
      </c>
      <c r="B27" s="20">
        <v>32789</v>
      </c>
      <c r="C27" s="20">
        <v>0</v>
      </c>
      <c r="D27" s="20">
        <v>32023</v>
      </c>
      <c r="E27" s="20">
        <v>0</v>
      </c>
      <c r="F27" s="20">
        <v>32023</v>
      </c>
      <c r="G27" s="43">
        <v>30562</v>
      </c>
    </row>
    <row r="28" spans="1:7" x14ac:dyDescent="0.2">
      <c r="A28" s="42" t="s">
        <v>167</v>
      </c>
      <c r="B28" s="20">
        <v>71854</v>
      </c>
      <c r="C28" s="20">
        <v>0</v>
      </c>
      <c r="D28" s="20">
        <v>67691</v>
      </c>
      <c r="E28" s="20">
        <v>0</v>
      </c>
      <c r="F28" s="20">
        <v>67691</v>
      </c>
      <c r="G28" s="43">
        <v>64045</v>
      </c>
    </row>
    <row r="29" spans="1:7" x14ac:dyDescent="0.2">
      <c r="A29" s="42" t="s">
        <v>168</v>
      </c>
      <c r="B29" s="20">
        <v>26707</v>
      </c>
      <c r="C29" s="20">
        <v>0</v>
      </c>
      <c r="D29" s="20">
        <v>26735</v>
      </c>
      <c r="E29" s="20">
        <v>0</v>
      </c>
      <c r="F29" s="20">
        <v>26735</v>
      </c>
      <c r="G29" s="43">
        <v>26274</v>
      </c>
    </row>
    <row r="30" spans="1:7" x14ac:dyDescent="0.2">
      <c r="A30" s="42" t="s">
        <v>169</v>
      </c>
      <c r="B30" s="20">
        <v>29907</v>
      </c>
      <c r="C30" s="20">
        <v>0</v>
      </c>
      <c r="D30" s="20">
        <v>30129</v>
      </c>
      <c r="E30" s="20">
        <v>0</v>
      </c>
      <c r="F30" s="20">
        <v>30129</v>
      </c>
      <c r="G30" s="43">
        <v>29799</v>
      </c>
    </row>
    <row r="31" spans="1:7" x14ac:dyDescent="0.2">
      <c r="A31" s="42" t="s">
        <v>170</v>
      </c>
      <c r="B31" s="20">
        <v>36810</v>
      </c>
      <c r="C31" s="20">
        <v>0</v>
      </c>
      <c r="D31" s="20">
        <v>37092</v>
      </c>
      <c r="E31" s="20">
        <v>0</v>
      </c>
      <c r="F31" s="20">
        <v>37092</v>
      </c>
      <c r="G31" s="43">
        <v>37243</v>
      </c>
    </row>
    <row r="32" spans="1:7" x14ac:dyDescent="0.2">
      <c r="A32" s="42" t="s">
        <v>171</v>
      </c>
      <c r="B32" s="20">
        <v>10299</v>
      </c>
      <c r="C32" s="20">
        <v>0</v>
      </c>
      <c r="D32" s="20">
        <v>10421</v>
      </c>
      <c r="E32" s="20">
        <v>0</v>
      </c>
      <c r="F32" s="20">
        <v>10421</v>
      </c>
      <c r="G32" s="43">
        <v>10515</v>
      </c>
    </row>
    <row r="33" spans="1:7" x14ac:dyDescent="0.2">
      <c r="A33" s="42" t="s">
        <v>172</v>
      </c>
      <c r="B33" s="20">
        <v>10417</v>
      </c>
      <c r="C33" s="20">
        <v>0</v>
      </c>
      <c r="D33" s="20">
        <v>10500</v>
      </c>
      <c r="E33" s="20">
        <v>0</v>
      </c>
      <c r="F33" s="20">
        <v>10500</v>
      </c>
      <c r="G33" s="43">
        <v>10555</v>
      </c>
    </row>
    <row r="34" spans="1:7" x14ac:dyDescent="0.2">
      <c r="A34" s="42" t="s">
        <v>173</v>
      </c>
      <c r="B34" s="20">
        <v>14966</v>
      </c>
      <c r="C34" s="20">
        <v>0</v>
      </c>
      <c r="D34" s="20">
        <v>16848</v>
      </c>
      <c r="E34" s="20">
        <v>0</v>
      </c>
      <c r="F34" s="20">
        <v>16848</v>
      </c>
      <c r="G34" s="43">
        <v>18239</v>
      </c>
    </row>
    <row r="35" spans="1:7" x14ac:dyDescent="0.2">
      <c r="A35" s="42" t="s">
        <v>174</v>
      </c>
      <c r="B35" s="20">
        <v>10299</v>
      </c>
      <c r="C35" s="20">
        <v>0</v>
      </c>
      <c r="D35" s="20">
        <v>10421</v>
      </c>
      <c r="E35" s="20">
        <v>0</v>
      </c>
      <c r="F35" s="20">
        <v>10421</v>
      </c>
      <c r="G35" s="43">
        <v>10515</v>
      </c>
    </row>
    <row r="36" spans="1:7" x14ac:dyDescent="0.2">
      <c r="A36" s="42" t="s">
        <v>175</v>
      </c>
      <c r="B36" s="20">
        <v>45194</v>
      </c>
      <c r="C36" s="20">
        <v>0</v>
      </c>
      <c r="D36" s="20">
        <v>43819</v>
      </c>
      <c r="E36" s="20">
        <v>0</v>
      </c>
      <c r="F36" s="20">
        <v>43819</v>
      </c>
      <c r="G36" s="43">
        <v>42869</v>
      </c>
    </row>
    <row r="37" spans="1:7" x14ac:dyDescent="0.2">
      <c r="A37" s="42" t="s">
        <v>176</v>
      </c>
      <c r="B37" s="20">
        <v>17136</v>
      </c>
      <c r="C37" s="20">
        <v>0</v>
      </c>
      <c r="D37" s="20">
        <v>17401</v>
      </c>
      <c r="E37" s="20">
        <v>0</v>
      </c>
      <c r="F37" s="20">
        <v>17401</v>
      </c>
      <c r="G37" s="43">
        <v>17547</v>
      </c>
    </row>
    <row r="38" spans="1:7" x14ac:dyDescent="0.2">
      <c r="A38" s="42" t="s">
        <v>177</v>
      </c>
      <c r="B38" s="20">
        <v>140827</v>
      </c>
      <c r="C38" s="20">
        <v>0</v>
      </c>
      <c r="D38" s="20">
        <v>133413</v>
      </c>
      <c r="E38" s="20">
        <v>0</v>
      </c>
      <c r="F38" s="20">
        <v>133413</v>
      </c>
      <c r="G38" s="43">
        <v>124408</v>
      </c>
    </row>
    <row r="39" spans="1:7" x14ac:dyDescent="0.2">
      <c r="A39" s="42" t="s">
        <v>178</v>
      </c>
      <c r="B39" s="20">
        <v>58098</v>
      </c>
      <c r="C39" s="20">
        <v>0</v>
      </c>
      <c r="D39" s="20">
        <v>63058</v>
      </c>
      <c r="E39" s="20">
        <v>0</v>
      </c>
      <c r="F39" s="20">
        <v>63058</v>
      </c>
      <c r="G39" s="43">
        <v>66843</v>
      </c>
    </row>
    <row r="40" spans="1:7" x14ac:dyDescent="0.2">
      <c r="A40" s="42" t="s">
        <v>179</v>
      </c>
      <c r="B40" s="20">
        <v>10299</v>
      </c>
      <c r="C40" s="20">
        <v>0</v>
      </c>
      <c r="D40" s="20">
        <v>10421</v>
      </c>
      <c r="E40" s="20">
        <v>0</v>
      </c>
      <c r="F40" s="20">
        <v>10421</v>
      </c>
      <c r="G40" s="43">
        <v>10515</v>
      </c>
    </row>
    <row r="41" spans="1:7" x14ac:dyDescent="0.2">
      <c r="A41" s="42" t="s">
        <v>180</v>
      </c>
      <c r="B41" s="20">
        <v>75762</v>
      </c>
      <c r="C41" s="20">
        <v>0</v>
      </c>
      <c r="D41" s="20">
        <v>75058</v>
      </c>
      <c r="E41" s="20">
        <v>0</v>
      </c>
      <c r="F41" s="20">
        <v>75058</v>
      </c>
      <c r="G41" s="43">
        <v>74121</v>
      </c>
    </row>
    <row r="42" spans="1:7" x14ac:dyDescent="0.2">
      <c r="A42" s="42" t="s">
        <v>181</v>
      </c>
      <c r="B42" s="20">
        <v>27009</v>
      </c>
      <c r="C42" s="20">
        <v>0</v>
      </c>
      <c r="D42" s="20">
        <v>27923</v>
      </c>
      <c r="E42" s="20">
        <v>0</v>
      </c>
      <c r="F42" s="20">
        <v>27923</v>
      </c>
      <c r="G42" s="43">
        <v>28700</v>
      </c>
    </row>
    <row r="43" spans="1:7" x14ac:dyDescent="0.2">
      <c r="A43" s="42" t="s">
        <v>182</v>
      </c>
      <c r="B43" s="20">
        <v>20436</v>
      </c>
      <c r="C43" s="20">
        <v>0</v>
      </c>
      <c r="D43" s="20">
        <v>20109</v>
      </c>
      <c r="E43" s="20">
        <v>0</v>
      </c>
      <c r="F43" s="20">
        <v>20109</v>
      </c>
      <c r="G43" s="43">
        <v>20081</v>
      </c>
    </row>
    <row r="44" spans="1:7" x14ac:dyDescent="0.2">
      <c r="A44" s="42" t="s">
        <v>183</v>
      </c>
      <c r="B44" s="20">
        <v>76687</v>
      </c>
      <c r="C44" s="20">
        <v>0</v>
      </c>
      <c r="D44" s="20">
        <v>76854</v>
      </c>
      <c r="E44" s="20">
        <v>0</v>
      </c>
      <c r="F44" s="20">
        <v>76854</v>
      </c>
      <c r="G44" s="43">
        <v>74639</v>
      </c>
    </row>
    <row r="45" spans="1:7" x14ac:dyDescent="0.2">
      <c r="A45" s="42" t="s">
        <v>184</v>
      </c>
      <c r="B45" s="20">
        <v>10299</v>
      </c>
      <c r="C45" s="20">
        <v>0</v>
      </c>
      <c r="D45" s="20">
        <v>10421</v>
      </c>
      <c r="E45" s="20">
        <v>0</v>
      </c>
      <c r="F45" s="20">
        <v>10421</v>
      </c>
      <c r="G45" s="43">
        <v>10515</v>
      </c>
    </row>
    <row r="46" spans="1:7" x14ac:dyDescent="0.2">
      <c r="A46" s="42" t="s">
        <v>185</v>
      </c>
      <c r="B46" s="20">
        <v>31866</v>
      </c>
      <c r="C46" s="20">
        <v>0</v>
      </c>
      <c r="D46" s="20">
        <v>32609</v>
      </c>
      <c r="E46" s="20">
        <v>0</v>
      </c>
      <c r="F46" s="20">
        <v>32609</v>
      </c>
      <c r="G46" s="43">
        <v>33980</v>
      </c>
    </row>
    <row r="47" spans="1:7" x14ac:dyDescent="0.2">
      <c r="A47" s="42" t="s">
        <v>186</v>
      </c>
      <c r="B47" s="20">
        <v>10299</v>
      </c>
      <c r="C47" s="20">
        <v>0</v>
      </c>
      <c r="D47" s="20">
        <v>10421</v>
      </c>
      <c r="E47" s="20">
        <v>0</v>
      </c>
      <c r="F47" s="20">
        <v>10421</v>
      </c>
      <c r="G47" s="43">
        <v>10515</v>
      </c>
    </row>
    <row r="48" spans="1:7" x14ac:dyDescent="0.2">
      <c r="A48" s="42" t="s">
        <v>187</v>
      </c>
      <c r="B48" s="20">
        <v>41689</v>
      </c>
      <c r="C48" s="20">
        <v>0</v>
      </c>
      <c r="D48" s="20">
        <v>42673</v>
      </c>
      <c r="E48" s="20">
        <v>0</v>
      </c>
      <c r="F48" s="20">
        <v>42673</v>
      </c>
      <c r="G48" s="43">
        <v>44190</v>
      </c>
    </row>
    <row r="49" spans="1:7" x14ac:dyDescent="0.2">
      <c r="A49" s="42" t="s">
        <v>188</v>
      </c>
      <c r="B49" s="20">
        <v>204565</v>
      </c>
      <c r="C49" s="20">
        <v>0</v>
      </c>
      <c r="D49" s="20">
        <v>209657</v>
      </c>
      <c r="E49" s="20">
        <v>0</v>
      </c>
      <c r="F49" s="20">
        <v>209657</v>
      </c>
      <c r="G49" s="43">
        <v>217697</v>
      </c>
    </row>
    <row r="50" spans="1:7" x14ac:dyDescent="0.2">
      <c r="A50" s="42" t="s">
        <v>189</v>
      </c>
      <c r="B50" s="20">
        <v>14762</v>
      </c>
      <c r="C50" s="20">
        <v>0</v>
      </c>
      <c r="D50" s="20">
        <v>15565</v>
      </c>
      <c r="E50" s="20">
        <v>0</v>
      </c>
      <c r="F50" s="20">
        <v>15565</v>
      </c>
      <c r="G50" s="43">
        <v>16002</v>
      </c>
    </row>
    <row r="51" spans="1:7" x14ac:dyDescent="0.2">
      <c r="A51" s="42" t="s">
        <v>190</v>
      </c>
      <c r="B51" s="20">
        <v>10299</v>
      </c>
      <c r="C51" s="20">
        <v>0</v>
      </c>
      <c r="D51" s="20">
        <v>10421</v>
      </c>
      <c r="E51" s="20">
        <v>0</v>
      </c>
      <c r="F51" s="20">
        <v>10421</v>
      </c>
      <c r="G51" s="43">
        <v>10515</v>
      </c>
    </row>
    <row r="52" spans="1:7" x14ac:dyDescent="0.2">
      <c r="A52" s="42" t="s">
        <v>191</v>
      </c>
      <c r="B52" s="20">
        <v>39112</v>
      </c>
      <c r="C52" s="20">
        <v>0</v>
      </c>
      <c r="D52" s="20">
        <v>40837</v>
      </c>
      <c r="E52" s="20">
        <v>0</v>
      </c>
      <c r="F52" s="20">
        <v>40837</v>
      </c>
      <c r="G52" s="43">
        <v>41527</v>
      </c>
    </row>
    <row r="53" spans="1:7" x14ac:dyDescent="0.2">
      <c r="A53" s="42" t="s">
        <v>192</v>
      </c>
      <c r="B53" s="20">
        <v>33915</v>
      </c>
      <c r="C53" s="20">
        <v>0</v>
      </c>
      <c r="D53" s="20">
        <v>34516</v>
      </c>
      <c r="E53" s="20">
        <v>0</v>
      </c>
      <c r="F53" s="20">
        <v>34516</v>
      </c>
      <c r="G53" s="43">
        <v>34552</v>
      </c>
    </row>
    <row r="54" spans="1:7" x14ac:dyDescent="0.2">
      <c r="A54" s="42" t="s">
        <v>193</v>
      </c>
      <c r="B54" s="20">
        <v>14930</v>
      </c>
      <c r="C54" s="20">
        <v>0</v>
      </c>
      <c r="D54" s="20">
        <v>13709</v>
      </c>
      <c r="E54" s="20">
        <v>0</v>
      </c>
      <c r="F54" s="20">
        <v>13709</v>
      </c>
      <c r="G54" s="43">
        <v>12703</v>
      </c>
    </row>
    <row r="55" spans="1:7" x14ac:dyDescent="0.2">
      <c r="A55" s="42" t="s">
        <v>194</v>
      </c>
      <c r="B55" s="20">
        <v>31132</v>
      </c>
      <c r="C55" s="20">
        <v>0</v>
      </c>
      <c r="D55" s="20">
        <v>31008</v>
      </c>
      <c r="E55" s="20">
        <v>0</v>
      </c>
      <c r="F55" s="20">
        <v>31008</v>
      </c>
      <c r="G55" s="43">
        <v>30180</v>
      </c>
    </row>
    <row r="56" spans="1:7" x14ac:dyDescent="0.2">
      <c r="A56" s="42" t="s">
        <v>195</v>
      </c>
      <c r="B56" s="20">
        <v>10299</v>
      </c>
      <c r="C56" s="20">
        <v>0</v>
      </c>
      <c r="D56" s="20">
        <v>10421</v>
      </c>
      <c r="E56" s="20">
        <v>0</v>
      </c>
      <c r="F56" s="20">
        <v>10421</v>
      </c>
      <c r="G56" s="43">
        <v>10515</v>
      </c>
    </row>
    <row r="57" spans="1:7" x14ac:dyDescent="0.2">
      <c r="A57" s="42" t="s">
        <v>196</v>
      </c>
      <c r="B57" s="20">
        <v>2808</v>
      </c>
      <c r="C57" s="20">
        <v>0</v>
      </c>
      <c r="D57" s="20">
        <v>2907</v>
      </c>
      <c r="E57" s="20">
        <v>0</v>
      </c>
      <c r="F57" s="20">
        <v>2907</v>
      </c>
      <c r="G57" s="43">
        <v>2997</v>
      </c>
    </row>
    <row r="58" spans="1:7" x14ac:dyDescent="0.2">
      <c r="A58" s="42" t="s">
        <v>197</v>
      </c>
      <c r="B58" s="20">
        <v>3885</v>
      </c>
      <c r="C58" s="20">
        <v>0</v>
      </c>
      <c r="D58" s="20">
        <v>3875</v>
      </c>
      <c r="E58" s="20">
        <v>0</v>
      </c>
      <c r="F58" s="20">
        <v>3875</v>
      </c>
      <c r="G58" s="43">
        <v>3854</v>
      </c>
    </row>
    <row r="59" spans="1:7" x14ac:dyDescent="0.2">
      <c r="A59" s="42" t="s">
        <v>198</v>
      </c>
      <c r="B59" s="20">
        <v>1727</v>
      </c>
      <c r="C59" s="20">
        <v>0</v>
      </c>
      <c r="D59" s="20">
        <v>1794</v>
      </c>
      <c r="E59" s="20">
        <v>0</v>
      </c>
      <c r="F59" s="20">
        <v>1794</v>
      </c>
      <c r="G59" s="43">
        <v>1857</v>
      </c>
    </row>
    <row r="60" spans="1:7" x14ac:dyDescent="0.2">
      <c r="A60" s="42" t="s">
        <v>199</v>
      </c>
      <c r="B60" s="20">
        <v>56121</v>
      </c>
      <c r="C60" s="20">
        <v>0</v>
      </c>
      <c r="D60" s="20">
        <v>55601</v>
      </c>
      <c r="E60" s="20">
        <v>0</v>
      </c>
      <c r="F60" s="20">
        <v>55601</v>
      </c>
      <c r="G60" s="43">
        <v>53433</v>
      </c>
    </row>
    <row r="61" spans="1:7" x14ac:dyDescent="0.2">
      <c r="A61" s="42" t="s">
        <v>200</v>
      </c>
      <c r="B61" s="20">
        <v>0</v>
      </c>
      <c r="C61" s="20">
        <v>0</v>
      </c>
      <c r="D61" s="20">
        <v>0</v>
      </c>
      <c r="E61" s="20">
        <v>0</v>
      </c>
      <c r="F61" s="20">
        <v>0</v>
      </c>
      <c r="G61" s="43">
        <v>0</v>
      </c>
    </row>
    <row r="62" spans="1:7" x14ac:dyDescent="0.2">
      <c r="A62" s="42" t="s">
        <v>201</v>
      </c>
      <c r="B62" s="20">
        <v>2186</v>
      </c>
      <c r="C62" s="20">
        <v>0</v>
      </c>
      <c r="D62" s="20">
        <v>2086</v>
      </c>
      <c r="E62" s="20">
        <v>0</v>
      </c>
      <c r="F62" s="20">
        <v>2086</v>
      </c>
      <c r="G62" s="43">
        <v>1981</v>
      </c>
    </row>
    <row r="63" spans="1:7" x14ac:dyDescent="0.2">
      <c r="A63" s="42" t="s">
        <v>202</v>
      </c>
      <c r="B63" s="20">
        <v>10606</v>
      </c>
      <c r="C63" s="20">
        <v>0</v>
      </c>
      <c r="D63" s="20">
        <v>10662</v>
      </c>
      <c r="E63" s="20">
        <v>0</v>
      </c>
      <c r="F63" s="20">
        <v>10662</v>
      </c>
      <c r="G63" s="43">
        <v>10689</v>
      </c>
    </row>
    <row r="64" spans="1:7" x14ac:dyDescent="0.2">
      <c r="A64" s="42" t="s">
        <v>203</v>
      </c>
      <c r="B64" s="20">
        <v>10659</v>
      </c>
      <c r="C64" s="20">
        <v>0</v>
      </c>
      <c r="D64" s="20">
        <v>10715</v>
      </c>
      <c r="E64" s="20">
        <v>0</v>
      </c>
      <c r="F64" s="20">
        <v>10715</v>
      </c>
      <c r="G64" s="43">
        <v>10743</v>
      </c>
    </row>
    <row r="65" spans="1:7" ht="15" customHeight="1" x14ac:dyDescent="0.2">
      <c r="A65" s="44" t="s">
        <v>204</v>
      </c>
      <c r="B65" s="45">
        <v>2131836</v>
      </c>
      <c r="C65" s="45">
        <v>0</v>
      </c>
      <c r="D65" s="45">
        <v>2143078</v>
      </c>
      <c r="E65" s="45">
        <v>0</v>
      </c>
      <c r="F65" s="45">
        <v>2143078</v>
      </c>
      <c r="G65" s="51">
        <v>2148578</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209</v>
      </c>
      <c r="B1" s="16"/>
      <c r="C1" s="16"/>
      <c r="D1" s="16"/>
      <c r="E1" s="16"/>
      <c r="F1" s="16"/>
      <c r="G1" s="15" t="s">
        <v>34</v>
      </c>
    </row>
    <row r="2" spans="1:7" x14ac:dyDescent="0.2">
      <c r="A2" s="17" t="s">
        <v>428</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216948</v>
      </c>
      <c r="C6" s="20">
        <v>0</v>
      </c>
      <c r="D6" s="20">
        <v>899465</v>
      </c>
      <c r="E6" s="20">
        <v>2020070</v>
      </c>
      <c r="F6" s="20">
        <v>2919535</v>
      </c>
      <c r="G6" s="43">
        <v>0</v>
      </c>
    </row>
    <row r="7" spans="1:7" x14ac:dyDescent="0.2">
      <c r="A7" s="42" t="s">
        <v>146</v>
      </c>
      <c r="B7" s="20">
        <v>38408</v>
      </c>
      <c r="C7" s="20">
        <v>0</v>
      </c>
      <c r="D7" s="20">
        <v>159719</v>
      </c>
      <c r="E7" s="20">
        <v>358707</v>
      </c>
      <c r="F7" s="20">
        <v>518426</v>
      </c>
      <c r="G7" s="43">
        <v>0</v>
      </c>
    </row>
    <row r="8" spans="1:7" x14ac:dyDescent="0.2">
      <c r="A8" s="42" t="s">
        <v>147</v>
      </c>
      <c r="B8" s="20">
        <v>277423</v>
      </c>
      <c r="C8" s="20">
        <v>0</v>
      </c>
      <c r="D8" s="20">
        <v>1149716</v>
      </c>
      <c r="E8" s="20">
        <v>2582099</v>
      </c>
      <c r="F8" s="20">
        <v>3731815</v>
      </c>
      <c r="G8" s="43">
        <v>0</v>
      </c>
    </row>
    <row r="9" spans="1:7" x14ac:dyDescent="0.2">
      <c r="A9" s="42" t="s">
        <v>148</v>
      </c>
      <c r="B9" s="20">
        <v>128759</v>
      </c>
      <c r="C9" s="20">
        <v>0</v>
      </c>
      <c r="D9" s="20">
        <v>558017</v>
      </c>
      <c r="E9" s="20">
        <v>1253228</v>
      </c>
      <c r="F9" s="20">
        <v>1811245</v>
      </c>
      <c r="G9" s="43">
        <v>0</v>
      </c>
    </row>
    <row r="10" spans="1:7" x14ac:dyDescent="0.2">
      <c r="A10" s="42" t="s">
        <v>149</v>
      </c>
      <c r="B10" s="20">
        <v>1647306</v>
      </c>
      <c r="C10" s="20">
        <v>0</v>
      </c>
      <c r="D10" s="20">
        <v>6709634</v>
      </c>
      <c r="E10" s="20">
        <v>15068885</v>
      </c>
      <c r="F10" s="20">
        <v>21778519</v>
      </c>
      <c r="G10" s="43">
        <v>0</v>
      </c>
    </row>
    <row r="11" spans="1:7" x14ac:dyDescent="0.2">
      <c r="A11" s="42" t="s">
        <v>150</v>
      </c>
      <c r="B11" s="20">
        <v>120994</v>
      </c>
      <c r="C11" s="20">
        <v>0</v>
      </c>
      <c r="D11" s="20">
        <v>519324</v>
      </c>
      <c r="E11" s="20">
        <v>1166329</v>
      </c>
      <c r="F11" s="20">
        <v>1685653</v>
      </c>
      <c r="G11" s="43">
        <v>0</v>
      </c>
    </row>
    <row r="12" spans="1:7" x14ac:dyDescent="0.2">
      <c r="A12" s="42" t="s">
        <v>151</v>
      </c>
      <c r="B12" s="20">
        <v>111068</v>
      </c>
      <c r="C12" s="20">
        <v>0</v>
      </c>
      <c r="D12" s="20">
        <v>492426</v>
      </c>
      <c r="E12" s="20">
        <v>1105920</v>
      </c>
      <c r="F12" s="20">
        <v>1598346</v>
      </c>
      <c r="G12" s="43">
        <v>0</v>
      </c>
    </row>
    <row r="13" spans="1:7" x14ac:dyDescent="0.2">
      <c r="A13" s="42" t="s">
        <v>152</v>
      </c>
      <c r="B13" s="20">
        <v>43493</v>
      </c>
      <c r="C13" s="20">
        <v>0</v>
      </c>
      <c r="D13" s="20">
        <v>182885</v>
      </c>
      <c r="E13" s="20">
        <v>410734</v>
      </c>
      <c r="F13" s="20">
        <v>593619</v>
      </c>
      <c r="G13" s="43">
        <v>0</v>
      </c>
    </row>
    <row r="14" spans="1:7" x14ac:dyDescent="0.2">
      <c r="A14" s="42" t="s">
        <v>153</v>
      </c>
      <c r="B14" s="20">
        <v>42006</v>
      </c>
      <c r="C14" s="20">
        <v>0</v>
      </c>
      <c r="D14" s="20">
        <v>172013</v>
      </c>
      <c r="E14" s="20">
        <v>386317</v>
      </c>
      <c r="F14" s="20">
        <v>558330</v>
      </c>
      <c r="G14" s="43">
        <v>0</v>
      </c>
    </row>
    <row r="15" spans="1:7" x14ac:dyDescent="0.2">
      <c r="A15" s="42" t="s">
        <v>154</v>
      </c>
      <c r="B15" s="20">
        <v>770248</v>
      </c>
      <c r="C15" s="20">
        <v>0</v>
      </c>
      <c r="D15" s="20">
        <v>3133879</v>
      </c>
      <c r="E15" s="20">
        <v>7038246</v>
      </c>
      <c r="F15" s="20">
        <v>10172125</v>
      </c>
      <c r="G15" s="43">
        <v>0</v>
      </c>
    </row>
    <row r="16" spans="1:7" x14ac:dyDescent="0.2">
      <c r="A16" s="42" t="s">
        <v>155</v>
      </c>
      <c r="B16" s="20">
        <v>457170</v>
      </c>
      <c r="C16" s="20">
        <v>0</v>
      </c>
      <c r="D16" s="20">
        <v>1892093</v>
      </c>
      <c r="E16" s="20">
        <v>4249371</v>
      </c>
      <c r="F16" s="20">
        <v>6141464</v>
      </c>
      <c r="G16" s="43">
        <v>0</v>
      </c>
    </row>
    <row r="17" spans="1:7" x14ac:dyDescent="0.2">
      <c r="A17" s="42" t="s">
        <v>156</v>
      </c>
      <c r="B17" s="20">
        <v>43385</v>
      </c>
      <c r="C17" s="20">
        <v>0</v>
      </c>
      <c r="D17" s="20">
        <v>183595</v>
      </c>
      <c r="E17" s="20">
        <v>412329</v>
      </c>
      <c r="F17" s="20">
        <v>595924</v>
      </c>
      <c r="G17" s="43">
        <v>0</v>
      </c>
    </row>
    <row r="18" spans="1:7" x14ac:dyDescent="0.2">
      <c r="A18" s="42" t="s">
        <v>157</v>
      </c>
      <c r="B18" s="20">
        <v>47855</v>
      </c>
      <c r="C18" s="20">
        <v>0</v>
      </c>
      <c r="D18" s="20">
        <v>195890</v>
      </c>
      <c r="E18" s="20">
        <v>439942</v>
      </c>
      <c r="F18" s="20">
        <v>635832</v>
      </c>
      <c r="G18" s="43">
        <v>0</v>
      </c>
    </row>
    <row r="19" spans="1:7" x14ac:dyDescent="0.2">
      <c r="A19" s="42" t="s">
        <v>158</v>
      </c>
      <c r="B19" s="20">
        <v>569467</v>
      </c>
      <c r="C19" s="20">
        <v>0</v>
      </c>
      <c r="D19" s="20">
        <v>2250805</v>
      </c>
      <c r="E19" s="20">
        <v>5054988</v>
      </c>
      <c r="F19" s="20">
        <v>7305793</v>
      </c>
      <c r="G19" s="43">
        <v>0</v>
      </c>
    </row>
    <row r="20" spans="1:7" x14ac:dyDescent="0.2">
      <c r="A20" s="42" t="s">
        <v>159</v>
      </c>
      <c r="B20" s="20">
        <v>214473</v>
      </c>
      <c r="C20" s="20">
        <v>0</v>
      </c>
      <c r="D20" s="20">
        <v>888184</v>
      </c>
      <c r="E20" s="20">
        <v>1994734</v>
      </c>
      <c r="F20" s="20">
        <v>2882918</v>
      </c>
      <c r="G20" s="43">
        <v>0</v>
      </c>
    </row>
    <row r="21" spans="1:7" x14ac:dyDescent="0.2">
      <c r="A21" s="42" t="s">
        <v>160</v>
      </c>
      <c r="B21" s="20">
        <v>71626</v>
      </c>
      <c r="C21" s="20">
        <v>0</v>
      </c>
      <c r="D21" s="20">
        <v>344864</v>
      </c>
      <c r="E21" s="20">
        <v>774516</v>
      </c>
      <c r="F21" s="20">
        <v>1119380</v>
      </c>
      <c r="G21" s="43">
        <v>0</v>
      </c>
    </row>
    <row r="22" spans="1:7" x14ac:dyDescent="0.2">
      <c r="A22" s="42" t="s">
        <v>161</v>
      </c>
      <c r="B22" s="20">
        <v>84529</v>
      </c>
      <c r="C22" s="20">
        <v>0</v>
      </c>
      <c r="D22" s="20">
        <v>369830</v>
      </c>
      <c r="E22" s="20">
        <v>830585</v>
      </c>
      <c r="F22" s="20">
        <v>1200415</v>
      </c>
      <c r="G22" s="43">
        <v>0</v>
      </c>
    </row>
    <row r="23" spans="1:7" x14ac:dyDescent="0.2">
      <c r="A23" s="42" t="s">
        <v>162</v>
      </c>
      <c r="B23" s="20">
        <v>193187</v>
      </c>
      <c r="C23" s="20">
        <v>0</v>
      </c>
      <c r="D23" s="20">
        <v>928275</v>
      </c>
      <c r="E23" s="20">
        <v>2084773</v>
      </c>
      <c r="F23" s="20">
        <v>3013048</v>
      </c>
      <c r="G23" s="43">
        <v>0</v>
      </c>
    </row>
    <row r="24" spans="1:7" x14ac:dyDescent="0.2">
      <c r="A24" s="42" t="s">
        <v>163</v>
      </c>
      <c r="B24" s="20">
        <v>286980</v>
      </c>
      <c r="C24" s="20">
        <v>0</v>
      </c>
      <c r="D24" s="20">
        <v>1160119</v>
      </c>
      <c r="E24" s="20">
        <v>2605463</v>
      </c>
      <c r="F24" s="20">
        <v>3765582</v>
      </c>
      <c r="G24" s="43">
        <v>0</v>
      </c>
    </row>
    <row r="25" spans="1:7" x14ac:dyDescent="0.2">
      <c r="A25" s="42" t="s">
        <v>164</v>
      </c>
      <c r="B25" s="20">
        <v>43793</v>
      </c>
      <c r="C25" s="20">
        <v>0</v>
      </c>
      <c r="D25" s="20">
        <v>183139</v>
      </c>
      <c r="E25" s="20">
        <v>411303</v>
      </c>
      <c r="F25" s="20">
        <v>594442</v>
      </c>
      <c r="G25" s="43">
        <v>0</v>
      </c>
    </row>
    <row r="26" spans="1:7" x14ac:dyDescent="0.2">
      <c r="A26" s="42" t="s">
        <v>165</v>
      </c>
      <c r="B26" s="20">
        <v>207834</v>
      </c>
      <c r="C26" s="20">
        <v>0</v>
      </c>
      <c r="D26" s="20">
        <v>868771</v>
      </c>
      <c r="E26" s="20">
        <v>1951137</v>
      </c>
      <c r="F26" s="20">
        <v>2819908</v>
      </c>
      <c r="G26" s="43">
        <v>0</v>
      </c>
    </row>
    <row r="27" spans="1:7" x14ac:dyDescent="0.2">
      <c r="A27" s="42" t="s">
        <v>166</v>
      </c>
      <c r="B27" s="20">
        <v>214894</v>
      </c>
      <c r="C27" s="20">
        <v>0</v>
      </c>
      <c r="D27" s="20">
        <v>814890</v>
      </c>
      <c r="E27" s="20">
        <v>1830128</v>
      </c>
      <c r="F27" s="20">
        <v>2645018</v>
      </c>
      <c r="G27" s="43">
        <v>0</v>
      </c>
    </row>
    <row r="28" spans="1:7" x14ac:dyDescent="0.2">
      <c r="A28" s="42" t="s">
        <v>167</v>
      </c>
      <c r="B28" s="20">
        <v>389797</v>
      </c>
      <c r="C28" s="20">
        <v>0</v>
      </c>
      <c r="D28" s="20">
        <v>1656308</v>
      </c>
      <c r="E28" s="20">
        <v>3719833</v>
      </c>
      <c r="F28" s="20">
        <v>5376141</v>
      </c>
      <c r="G28" s="43">
        <v>0</v>
      </c>
    </row>
    <row r="29" spans="1:7" x14ac:dyDescent="0.2">
      <c r="A29" s="42" t="s">
        <v>168</v>
      </c>
      <c r="B29" s="20">
        <v>140137</v>
      </c>
      <c r="C29" s="20">
        <v>0</v>
      </c>
      <c r="D29" s="20">
        <v>588036</v>
      </c>
      <c r="E29" s="20">
        <v>1320646</v>
      </c>
      <c r="F29" s="20">
        <v>1908682</v>
      </c>
      <c r="G29" s="43">
        <v>0</v>
      </c>
    </row>
    <row r="30" spans="1:7" x14ac:dyDescent="0.2">
      <c r="A30" s="42" t="s">
        <v>169</v>
      </c>
      <c r="B30" s="20">
        <v>169883</v>
      </c>
      <c r="C30" s="20">
        <v>0</v>
      </c>
      <c r="D30" s="20">
        <v>724533</v>
      </c>
      <c r="E30" s="20">
        <v>1627198</v>
      </c>
      <c r="F30" s="20">
        <v>2351731</v>
      </c>
      <c r="G30" s="43">
        <v>0</v>
      </c>
    </row>
    <row r="31" spans="1:7" x14ac:dyDescent="0.2">
      <c r="A31" s="42" t="s">
        <v>170</v>
      </c>
      <c r="B31" s="20">
        <v>208443</v>
      </c>
      <c r="C31" s="20">
        <v>0</v>
      </c>
      <c r="D31" s="20">
        <v>871172</v>
      </c>
      <c r="E31" s="20">
        <v>1956529</v>
      </c>
      <c r="F31" s="20">
        <v>2827701</v>
      </c>
      <c r="G31" s="43">
        <v>0</v>
      </c>
    </row>
    <row r="32" spans="1:7" x14ac:dyDescent="0.2">
      <c r="A32" s="42" t="s">
        <v>171</v>
      </c>
      <c r="B32" s="20">
        <v>41295</v>
      </c>
      <c r="C32" s="20">
        <v>0</v>
      </c>
      <c r="D32" s="20">
        <v>170099</v>
      </c>
      <c r="E32" s="20">
        <v>382019</v>
      </c>
      <c r="F32" s="20">
        <v>552118</v>
      </c>
      <c r="G32" s="43">
        <v>0</v>
      </c>
    </row>
    <row r="33" spans="1:7" x14ac:dyDescent="0.2">
      <c r="A33" s="42" t="s">
        <v>172</v>
      </c>
      <c r="B33" s="20">
        <v>65085</v>
      </c>
      <c r="C33" s="20">
        <v>0</v>
      </c>
      <c r="D33" s="20">
        <v>243074</v>
      </c>
      <c r="E33" s="20">
        <v>545909</v>
      </c>
      <c r="F33" s="20">
        <v>788983</v>
      </c>
      <c r="G33" s="43">
        <v>0</v>
      </c>
    </row>
    <row r="34" spans="1:7" x14ac:dyDescent="0.2">
      <c r="A34" s="42" t="s">
        <v>173</v>
      </c>
      <c r="B34" s="20">
        <v>117185</v>
      </c>
      <c r="C34" s="20">
        <v>0</v>
      </c>
      <c r="D34" s="20">
        <v>477322</v>
      </c>
      <c r="E34" s="20">
        <v>1071998</v>
      </c>
      <c r="F34" s="20">
        <v>1549320</v>
      </c>
      <c r="G34" s="43">
        <v>0</v>
      </c>
    </row>
    <row r="35" spans="1:7" x14ac:dyDescent="0.2">
      <c r="A35" s="42" t="s">
        <v>174</v>
      </c>
      <c r="B35" s="20">
        <v>37641</v>
      </c>
      <c r="C35" s="20">
        <v>0</v>
      </c>
      <c r="D35" s="20">
        <v>156066</v>
      </c>
      <c r="E35" s="20">
        <v>350502</v>
      </c>
      <c r="F35" s="20">
        <v>506568</v>
      </c>
      <c r="G35" s="43">
        <v>0</v>
      </c>
    </row>
    <row r="36" spans="1:7" x14ac:dyDescent="0.2">
      <c r="A36" s="42" t="s">
        <v>175</v>
      </c>
      <c r="B36" s="20">
        <v>310371</v>
      </c>
      <c r="C36" s="20">
        <v>0</v>
      </c>
      <c r="D36" s="20">
        <v>1230972</v>
      </c>
      <c r="E36" s="20">
        <v>2764588</v>
      </c>
      <c r="F36" s="20">
        <v>3995560</v>
      </c>
      <c r="G36" s="43">
        <v>0</v>
      </c>
    </row>
    <row r="37" spans="1:7" x14ac:dyDescent="0.2">
      <c r="A37" s="42" t="s">
        <v>176</v>
      </c>
      <c r="B37" s="20">
        <v>108575</v>
      </c>
      <c r="C37" s="20">
        <v>0</v>
      </c>
      <c r="D37" s="20">
        <v>435939</v>
      </c>
      <c r="E37" s="20">
        <v>979056</v>
      </c>
      <c r="F37" s="20">
        <v>1414995</v>
      </c>
      <c r="G37" s="43">
        <v>0</v>
      </c>
    </row>
    <row r="38" spans="1:7" x14ac:dyDescent="0.2">
      <c r="A38" s="42" t="s">
        <v>177</v>
      </c>
      <c r="B38" s="20">
        <v>1037046</v>
      </c>
      <c r="C38" s="20">
        <v>0</v>
      </c>
      <c r="D38" s="20">
        <v>4002382</v>
      </c>
      <c r="E38" s="20">
        <v>8988781</v>
      </c>
      <c r="F38" s="20">
        <v>12991163</v>
      </c>
      <c r="G38" s="43">
        <v>0</v>
      </c>
    </row>
    <row r="39" spans="1:7" x14ac:dyDescent="0.2">
      <c r="A39" s="42" t="s">
        <v>178</v>
      </c>
      <c r="B39" s="20">
        <v>396312</v>
      </c>
      <c r="C39" s="20">
        <v>0</v>
      </c>
      <c r="D39" s="20">
        <v>1602591</v>
      </c>
      <c r="E39" s="20">
        <v>3599192</v>
      </c>
      <c r="F39" s="20">
        <v>5201783</v>
      </c>
      <c r="G39" s="43">
        <v>0</v>
      </c>
    </row>
    <row r="40" spans="1:7" x14ac:dyDescent="0.2">
      <c r="A40" s="42" t="s">
        <v>179</v>
      </c>
      <c r="B40" s="20">
        <v>33298</v>
      </c>
      <c r="C40" s="20">
        <v>0</v>
      </c>
      <c r="D40" s="20">
        <v>135924</v>
      </c>
      <c r="E40" s="20">
        <v>305267</v>
      </c>
      <c r="F40" s="20">
        <v>441191</v>
      </c>
      <c r="G40" s="43">
        <v>0</v>
      </c>
    </row>
    <row r="41" spans="1:7" x14ac:dyDescent="0.2">
      <c r="A41" s="42" t="s">
        <v>180</v>
      </c>
      <c r="B41" s="20">
        <v>489205</v>
      </c>
      <c r="C41" s="20">
        <v>0</v>
      </c>
      <c r="D41" s="20">
        <v>1991251</v>
      </c>
      <c r="E41" s="20">
        <v>4472067</v>
      </c>
      <c r="F41" s="20">
        <v>6463318</v>
      </c>
      <c r="G41" s="43">
        <v>0</v>
      </c>
    </row>
    <row r="42" spans="1:7" x14ac:dyDescent="0.2">
      <c r="A42" s="42" t="s">
        <v>181</v>
      </c>
      <c r="B42" s="20">
        <v>160950</v>
      </c>
      <c r="C42" s="20">
        <v>0</v>
      </c>
      <c r="D42" s="20">
        <v>665039</v>
      </c>
      <c r="E42" s="20">
        <v>1493583</v>
      </c>
      <c r="F42" s="20">
        <v>2158622</v>
      </c>
      <c r="G42" s="43">
        <v>0</v>
      </c>
    </row>
    <row r="43" spans="1:7" x14ac:dyDescent="0.2">
      <c r="A43" s="42" t="s">
        <v>182</v>
      </c>
      <c r="B43" s="20">
        <v>121099</v>
      </c>
      <c r="C43" s="20">
        <v>0</v>
      </c>
      <c r="D43" s="20">
        <v>499154</v>
      </c>
      <c r="E43" s="20">
        <v>1121029</v>
      </c>
      <c r="F43" s="20">
        <v>1620183</v>
      </c>
      <c r="G43" s="43">
        <v>0</v>
      </c>
    </row>
    <row r="44" spans="1:7" x14ac:dyDescent="0.2">
      <c r="A44" s="42" t="s">
        <v>183</v>
      </c>
      <c r="B44" s="20">
        <v>523807</v>
      </c>
      <c r="C44" s="20">
        <v>0</v>
      </c>
      <c r="D44" s="20">
        <v>2224964</v>
      </c>
      <c r="E44" s="20">
        <v>4996953</v>
      </c>
      <c r="F44" s="20">
        <v>7221917</v>
      </c>
      <c r="G44" s="43">
        <v>0</v>
      </c>
    </row>
    <row r="45" spans="1:7" x14ac:dyDescent="0.2">
      <c r="A45" s="42" t="s">
        <v>184</v>
      </c>
      <c r="B45" s="20">
        <v>46350</v>
      </c>
      <c r="C45" s="20">
        <v>0</v>
      </c>
      <c r="D45" s="20">
        <v>184792</v>
      </c>
      <c r="E45" s="20">
        <v>415016</v>
      </c>
      <c r="F45" s="20">
        <v>599808</v>
      </c>
      <c r="G45" s="43">
        <v>0</v>
      </c>
    </row>
    <row r="46" spans="1:7" x14ac:dyDescent="0.2">
      <c r="A46" s="42" t="s">
        <v>185</v>
      </c>
      <c r="B46" s="20">
        <v>216311</v>
      </c>
      <c r="C46" s="20">
        <v>0</v>
      </c>
      <c r="D46" s="20">
        <v>940421</v>
      </c>
      <c r="E46" s="20">
        <v>2112051</v>
      </c>
      <c r="F46" s="20">
        <v>3052472</v>
      </c>
      <c r="G46" s="43">
        <v>0</v>
      </c>
    </row>
    <row r="47" spans="1:7" x14ac:dyDescent="0.2">
      <c r="A47" s="42" t="s">
        <v>186</v>
      </c>
      <c r="B47" s="20">
        <v>41295</v>
      </c>
      <c r="C47" s="20">
        <v>0</v>
      </c>
      <c r="D47" s="20">
        <v>170099</v>
      </c>
      <c r="E47" s="20">
        <v>382019</v>
      </c>
      <c r="F47" s="20">
        <v>552118</v>
      </c>
      <c r="G47" s="43">
        <v>0</v>
      </c>
    </row>
    <row r="48" spans="1:7" x14ac:dyDescent="0.2">
      <c r="A48" s="42" t="s">
        <v>187</v>
      </c>
      <c r="B48" s="20">
        <v>259891</v>
      </c>
      <c r="C48" s="20">
        <v>0</v>
      </c>
      <c r="D48" s="20">
        <v>1107656</v>
      </c>
      <c r="E48" s="20">
        <v>2487638</v>
      </c>
      <c r="F48" s="20">
        <v>3595294</v>
      </c>
      <c r="G48" s="43">
        <v>0</v>
      </c>
    </row>
    <row r="49" spans="1:7" x14ac:dyDescent="0.2">
      <c r="A49" s="42" t="s">
        <v>188</v>
      </c>
      <c r="B49" s="20">
        <v>1285886</v>
      </c>
      <c r="C49" s="20">
        <v>0</v>
      </c>
      <c r="D49" s="20">
        <v>5529552</v>
      </c>
      <c r="E49" s="20">
        <v>12418589</v>
      </c>
      <c r="F49" s="20">
        <v>17948141</v>
      </c>
      <c r="G49" s="43">
        <v>0</v>
      </c>
    </row>
    <row r="50" spans="1:7" x14ac:dyDescent="0.2">
      <c r="A50" s="42" t="s">
        <v>189</v>
      </c>
      <c r="B50" s="20">
        <v>67822</v>
      </c>
      <c r="C50" s="20">
        <v>0</v>
      </c>
      <c r="D50" s="20">
        <v>274072</v>
      </c>
      <c r="E50" s="20">
        <v>615526</v>
      </c>
      <c r="F50" s="20">
        <v>889598</v>
      </c>
      <c r="G50" s="43">
        <v>0</v>
      </c>
    </row>
    <row r="51" spans="1:7" x14ac:dyDescent="0.2">
      <c r="A51" s="42" t="s">
        <v>190</v>
      </c>
      <c r="B51" s="20">
        <v>31148</v>
      </c>
      <c r="C51" s="20">
        <v>0</v>
      </c>
      <c r="D51" s="20">
        <v>126973</v>
      </c>
      <c r="E51" s="20">
        <v>285164</v>
      </c>
      <c r="F51" s="20">
        <v>412137</v>
      </c>
      <c r="G51" s="43">
        <v>0</v>
      </c>
    </row>
    <row r="52" spans="1:7" x14ac:dyDescent="0.2">
      <c r="A52" s="42" t="s">
        <v>191</v>
      </c>
      <c r="B52" s="20">
        <v>238599</v>
      </c>
      <c r="C52" s="20">
        <v>0</v>
      </c>
      <c r="D52" s="20">
        <v>939281</v>
      </c>
      <c r="E52" s="20">
        <v>2109491</v>
      </c>
      <c r="F52" s="20">
        <v>3048772</v>
      </c>
      <c r="G52" s="43">
        <v>0</v>
      </c>
    </row>
    <row r="53" spans="1:7" x14ac:dyDescent="0.2">
      <c r="A53" s="42" t="s">
        <v>192</v>
      </c>
      <c r="B53" s="20">
        <v>216892</v>
      </c>
      <c r="C53" s="20">
        <v>0</v>
      </c>
      <c r="D53" s="20">
        <v>824852</v>
      </c>
      <c r="E53" s="20">
        <v>1852501</v>
      </c>
      <c r="F53" s="20">
        <v>2677353</v>
      </c>
      <c r="G53" s="43">
        <v>0</v>
      </c>
    </row>
    <row r="54" spans="1:7" x14ac:dyDescent="0.2">
      <c r="A54" s="42" t="s">
        <v>193</v>
      </c>
      <c r="B54" s="20">
        <v>86640</v>
      </c>
      <c r="C54" s="20">
        <v>0</v>
      </c>
      <c r="D54" s="20">
        <v>339032</v>
      </c>
      <c r="E54" s="20">
        <v>761418</v>
      </c>
      <c r="F54" s="20">
        <v>1100450</v>
      </c>
      <c r="G54" s="43">
        <v>0</v>
      </c>
    </row>
    <row r="55" spans="1:7" x14ac:dyDescent="0.2">
      <c r="A55" s="42" t="s">
        <v>194</v>
      </c>
      <c r="B55" s="20">
        <v>174778</v>
      </c>
      <c r="C55" s="20">
        <v>0</v>
      </c>
      <c r="D55" s="20">
        <v>686056</v>
      </c>
      <c r="E55" s="20">
        <v>1540785</v>
      </c>
      <c r="F55" s="20">
        <v>2226841</v>
      </c>
      <c r="G55" s="43">
        <v>0</v>
      </c>
    </row>
    <row r="56" spans="1:7" x14ac:dyDescent="0.2">
      <c r="A56" s="42" t="s">
        <v>195</v>
      </c>
      <c r="B56" s="20">
        <v>32563</v>
      </c>
      <c r="C56" s="20">
        <v>0</v>
      </c>
      <c r="D56" s="20">
        <v>135231</v>
      </c>
      <c r="E56" s="20">
        <v>303709</v>
      </c>
      <c r="F56" s="20">
        <v>438940</v>
      </c>
      <c r="G56" s="43">
        <v>0</v>
      </c>
    </row>
    <row r="57" spans="1:7" x14ac:dyDescent="0.2">
      <c r="A57" s="42" t="s">
        <v>196</v>
      </c>
      <c r="B57" s="20">
        <v>0</v>
      </c>
      <c r="C57" s="20">
        <v>0</v>
      </c>
      <c r="D57" s="20">
        <v>0</v>
      </c>
      <c r="E57" s="20">
        <v>0</v>
      </c>
      <c r="F57" s="20">
        <v>0</v>
      </c>
      <c r="G57" s="43">
        <v>0</v>
      </c>
    </row>
    <row r="58" spans="1:7" x14ac:dyDescent="0.2">
      <c r="A58" s="42" t="s">
        <v>197</v>
      </c>
      <c r="B58" s="20">
        <v>0</v>
      </c>
      <c r="C58" s="20">
        <v>0</v>
      </c>
      <c r="D58" s="20">
        <v>0</v>
      </c>
      <c r="E58" s="20">
        <v>0</v>
      </c>
      <c r="F58" s="20">
        <v>0</v>
      </c>
      <c r="G58" s="43">
        <v>0</v>
      </c>
    </row>
    <row r="59" spans="1:7" x14ac:dyDescent="0.2">
      <c r="A59" s="42" t="s">
        <v>198</v>
      </c>
      <c r="B59" s="20">
        <v>0</v>
      </c>
      <c r="C59" s="20">
        <v>0</v>
      </c>
      <c r="D59" s="20">
        <v>0</v>
      </c>
      <c r="E59" s="20">
        <v>0</v>
      </c>
      <c r="F59" s="20">
        <v>0</v>
      </c>
      <c r="G59" s="43">
        <v>0</v>
      </c>
    </row>
    <row r="60" spans="1:7" x14ac:dyDescent="0.2">
      <c r="A60" s="42" t="s">
        <v>199</v>
      </c>
      <c r="B60" s="20">
        <v>349113</v>
      </c>
      <c r="C60" s="20">
        <v>0</v>
      </c>
      <c r="D60" s="20">
        <v>1320626</v>
      </c>
      <c r="E60" s="20">
        <v>2965939</v>
      </c>
      <c r="F60" s="20">
        <v>4286565</v>
      </c>
      <c r="G60" s="43">
        <v>0</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13229263</v>
      </c>
      <c r="C65" s="45">
        <v>0</v>
      </c>
      <c r="D65" s="45">
        <v>54311002</v>
      </c>
      <c r="E65" s="45">
        <v>121974800</v>
      </c>
      <c r="F65" s="45">
        <v>176285802</v>
      </c>
      <c r="G65" s="46">
        <v>0</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209</v>
      </c>
      <c r="B1" s="16"/>
      <c r="C1" s="16"/>
      <c r="D1" s="16"/>
      <c r="E1" s="16"/>
      <c r="F1" s="16"/>
      <c r="G1" s="15" t="s">
        <v>34</v>
      </c>
    </row>
    <row r="2" spans="1:7" x14ac:dyDescent="0.2">
      <c r="A2" s="17" t="s">
        <v>430</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48852</v>
      </c>
      <c r="C6" s="20">
        <v>0</v>
      </c>
      <c r="D6" s="20">
        <v>21352</v>
      </c>
      <c r="E6" s="20">
        <v>0</v>
      </c>
      <c r="F6" s="20">
        <v>21352</v>
      </c>
      <c r="G6" s="43">
        <v>0</v>
      </c>
    </row>
    <row r="7" spans="1:7" x14ac:dyDescent="0.2">
      <c r="A7" s="42" t="s">
        <v>146</v>
      </c>
      <c r="B7" s="20">
        <v>6504</v>
      </c>
      <c r="C7" s="20">
        <v>0</v>
      </c>
      <c r="D7" s="20">
        <v>2824</v>
      </c>
      <c r="E7" s="20">
        <v>0</v>
      </c>
      <c r="F7" s="20">
        <v>2824</v>
      </c>
      <c r="G7" s="43">
        <v>0</v>
      </c>
    </row>
    <row r="8" spans="1:7" x14ac:dyDescent="0.2">
      <c r="A8" s="42" t="s">
        <v>147</v>
      </c>
      <c r="B8" s="20">
        <v>69196</v>
      </c>
      <c r="C8" s="20">
        <v>0</v>
      </c>
      <c r="D8" s="20">
        <v>30903</v>
      </c>
      <c r="E8" s="20">
        <v>0</v>
      </c>
      <c r="F8" s="20">
        <v>30903</v>
      </c>
      <c r="G8" s="43">
        <v>0</v>
      </c>
    </row>
    <row r="9" spans="1:7" x14ac:dyDescent="0.2">
      <c r="A9" s="42" t="s">
        <v>148</v>
      </c>
      <c r="B9" s="20">
        <v>30664</v>
      </c>
      <c r="C9" s="20">
        <v>0</v>
      </c>
      <c r="D9" s="20">
        <v>13378</v>
      </c>
      <c r="E9" s="20">
        <v>0</v>
      </c>
      <c r="F9" s="20">
        <v>13378</v>
      </c>
      <c r="G9" s="43">
        <v>0</v>
      </c>
    </row>
    <row r="10" spans="1:7" x14ac:dyDescent="0.2">
      <c r="A10" s="42" t="s">
        <v>149</v>
      </c>
      <c r="B10" s="20">
        <v>355227</v>
      </c>
      <c r="C10" s="20">
        <v>0</v>
      </c>
      <c r="D10" s="20">
        <v>153966</v>
      </c>
      <c r="E10" s="20">
        <v>0</v>
      </c>
      <c r="F10" s="20">
        <v>153966</v>
      </c>
      <c r="G10" s="43">
        <v>0</v>
      </c>
    </row>
    <row r="11" spans="1:7" x14ac:dyDescent="0.2">
      <c r="A11" s="42" t="s">
        <v>150</v>
      </c>
      <c r="B11" s="20">
        <v>44005</v>
      </c>
      <c r="C11" s="20">
        <v>0</v>
      </c>
      <c r="D11" s="20">
        <v>19432</v>
      </c>
      <c r="E11" s="20">
        <v>0</v>
      </c>
      <c r="F11" s="20">
        <v>19432</v>
      </c>
      <c r="G11" s="43">
        <v>0</v>
      </c>
    </row>
    <row r="12" spans="1:7" x14ac:dyDescent="0.2">
      <c r="A12" s="42" t="s">
        <v>151</v>
      </c>
      <c r="B12" s="20">
        <v>27882</v>
      </c>
      <c r="C12" s="20">
        <v>0</v>
      </c>
      <c r="D12" s="20">
        <v>12449</v>
      </c>
      <c r="E12" s="20">
        <v>0</v>
      </c>
      <c r="F12" s="20">
        <v>12449</v>
      </c>
      <c r="G12" s="43">
        <v>0</v>
      </c>
    </row>
    <row r="13" spans="1:7" x14ac:dyDescent="0.2">
      <c r="A13" s="42" t="s">
        <v>152</v>
      </c>
      <c r="B13" s="20">
        <v>7917</v>
      </c>
      <c r="C13" s="20">
        <v>0</v>
      </c>
      <c r="D13" s="20">
        <v>3459</v>
      </c>
      <c r="E13" s="20">
        <v>0</v>
      </c>
      <c r="F13" s="20">
        <v>3459</v>
      </c>
      <c r="G13" s="43">
        <v>0</v>
      </c>
    </row>
    <row r="14" spans="1:7" x14ac:dyDescent="0.2">
      <c r="A14" s="42" t="s">
        <v>153</v>
      </c>
      <c r="B14" s="20">
        <v>5808</v>
      </c>
      <c r="C14" s="20">
        <v>0</v>
      </c>
      <c r="D14" s="20">
        <v>2416</v>
      </c>
      <c r="E14" s="20">
        <v>0</v>
      </c>
      <c r="F14" s="20">
        <v>2416</v>
      </c>
      <c r="G14" s="43">
        <v>0</v>
      </c>
    </row>
    <row r="15" spans="1:7" x14ac:dyDescent="0.2">
      <c r="A15" s="42" t="s">
        <v>154</v>
      </c>
      <c r="B15" s="20">
        <v>173586</v>
      </c>
      <c r="C15" s="20">
        <v>0</v>
      </c>
      <c r="D15" s="20">
        <v>75799</v>
      </c>
      <c r="E15" s="20">
        <v>0</v>
      </c>
      <c r="F15" s="20">
        <v>75799</v>
      </c>
      <c r="G15" s="43">
        <v>0</v>
      </c>
    </row>
    <row r="16" spans="1:7" x14ac:dyDescent="0.2">
      <c r="A16" s="42" t="s">
        <v>155</v>
      </c>
      <c r="B16" s="20">
        <v>105721</v>
      </c>
      <c r="C16" s="20">
        <v>0</v>
      </c>
      <c r="D16" s="20">
        <v>47074</v>
      </c>
      <c r="E16" s="20">
        <v>0</v>
      </c>
      <c r="F16" s="20">
        <v>47074</v>
      </c>
      <c r="G16" s="43">
        <v>0</v>
      </c>
    </row>
    <row r="17" spans="1:7" x14ac:dyDescent="0.2">
      <c r="A17" s="42" t="s">
        <v>156</v>
      </c>
      <c r="B17" s="20">
        <v>9993</v>
      </c>
      <c r="C17" s="20">
        <v>0</v>
      </c>
      <c r="D17" s="20">
        <v>4456</v>
      </c>
      <c r="E17" s="20">
        <v>0</v>
      </c>
      <c r="F17" s="20">
        <v>4456</v>
      </c>
      <c r="G17" s="43">
        <v>0</v>
      </c>
    </row>
    <row r="18" spans="1:7" x14ac:dyDescent="0.2">
      <c r="A18" s="42" t="s">
        <v>157</v>
      </c>
      <c r="B18" s="20">
        <v>15676</v>
      </c>
      <c r="C18" s="20">
        <v>0</v>
      </c>
      <c r="D18" s="20">
        <v>6857</v>
      </c>
      <c r="E18" s="20">
        <v>0</v>
      </c>
      <c r="F18" s="20">
        <v>6857</v>
      </c>
      <c r="G18" s="43">
        <v>0</v>
      </c>
    </row>
    <row r="19" spans="1:7" x14ac:dyDescent="0.2">
      <c r="A19" s="42" t="s">
        <v>158</v>
      </c>
      <c r="B19" s="20">
        <v>108498</v>
      </c>
      <c r="C19" s="20">
        <v>0</v>
      </c>
      <c r="D19" s="20">
        <v>47904</v>
      </c>
      <c r="E19" s="20">
        <v>0</v>
      </c>
      <c r="F19" s="20">
        <v>47904</v>
      </c>
      <c r="G19" s="43">
        <v>0</v>
      </c>
    </row>
    <row r="20" spans="1:7" x14ac:dyDescent="0.2">
      <c r="A20" s="42" t="s">
        <v>159</v>
      </c>
      <c r="B20" s="20">
        <v>61591</v>
      </c>
      <c r="C20" s="20">
        <v>0</v>
      </c>
      <c r="D20" s="20">
        <v>26530</v>
      </c>
      <c r="E20" s="20">
        <v>0</v>
      </c>
      <c r="F20" s="20">
        <v>26530</v>
      </c>
      <c r="G20" s="43">
        <v>0</v>
      </c>
    </row>
    <row r="21" spans="1:7" x14ac:dyDescent="0.2">
      <c r="A21" s="42" t="s">
        <v>160</v>
      </c>
      <c r="B21" s="20">
        <v>26217</v>
      </c>
      <c r="C21" s="20">
        <v>0</v>
      </c>
      <c r="D21" s="20">
        <v>11566</v>
      </c>
      <c r="E21" s="20">
        <v>0</v>
      </c>
      <c r="F21" s="20">
        <v>11566</v>
      </c>
      <c r="G21" s="43">
        <v>0</v>
      </c>
    </row>
    <row r="22" spans="1:7" x14ac:dyDescent="0.2">
      <c r="A22" s="42" t="s">
        <v>161</v>
      </c>
      <c r="B22" s="20">
        <v>26274</v>
      </c>
      <c r="C22" s="20">
        <v>0</v>
      </c>
      <c r="D22" s="20">
        <v>11677</v>
      </c>
      <c r="E22" s="20">
        <v>0</v>
      </c>
      <c r="F22" s="20">
        <v>11677</v>
      </c>
      <c r="G22" s="43">
        <v>0</v>
      </c>
    </row>
    <row r="23" spans="1:7" x14ac:dyDescent="0.2">
      <c r="A23" s="42" t="s">
        <v>162</v>
      </c>
      <c r="B23" s="20">
        <v>43799</v>
      </c>
      <c r="C23" s="20">
        <v>0</v>
      </c>
      <c r="D23" s="20">
        <v>19330</v>
      </c>
      <c r="E23" s="20">
        <v>0</v>
      </c>
      <c r="F23" s="20">
        <v>19330</v>
      </c>
      <c r="G23" s="43">
        <v>0</v>
      </c>
    </row>
    <row r="24" spans="1:7" x14ac:dyDescent="0.2">
      <c r="A24" s="42" t="s">
        <v>163</v>
      </c>
      <c r="B24" s="20">
        <v>50277</v>
      </c>
      <c r="C24" s="20">
        <v>0</v>
      </c>
      <c r="D24" s="20">
        <v>22985</v>
      </c>
      <c r="E24" s="20">
        <v>0</v>
      </c>
      <c r="F24" s="20">
        <v>22985</v>
      </c>
      <c r="G24" s="43">
        <v>0</v>
      </c>
    </row>
    <row r="25" spans="1:7" x14ac:dyDescent="0.2">
      <c r="A25" s="42" t="s">
        <v>164</v>
      </c>
      <c r="B25" s="20">
        <v>9274</v>
      </c>
      <c r="C25" s="20">
        <v>0</v>
      </c>
      <c r="D25" s="20">
        <v>4082</v>
      </c>
      <c r="E25" s="20">
        <v>0</v>
      </c>
      <c r="F25" s="20">
        <v>4082</v>
      </c>
      <c r="G25" s="43">
        <v>0</v>
      </c>
    </row>
    <row r="26" spans="1:7" x14ac:dyDescent="0.2">
      <c r="A26" s="42" t="s">
        <v>165</v>
      </c>
      <c r="B26" s="20">
        <v>45658</v>
      </c>
      <c r="C26" s="20">
        <v>0</v>
      </c>
      <c r="D26" s="20">
        <v>20732</v>
      </c>
      <c r="E26" s="20">
        <v>0</v>
      </c>
      <c r="F26" s="20">
        <v>20732</v>
      </c>
      <c r="G26" s="43">
        <v>0</v>
      </c>
    </row>
    <row r="27" spans="1:7" x14ac:dyDescent="0.2">
      <c r="A27" s="42" t="s">
        <v>166</v>
      </c>
      <c r="B27" s="20">
        <v>50844</v>
      </c>
      <c r="C27" s="20">
        <v>0</v>
      </c>
      <c r="D27" s="20">
        <v>22625</v>
      </c>
      <c r="E27" s="20">
        <v>0</v>
      </c>
      <c r="F27" s="20">
        <v>22625</v>
      </c>
      <c r="G27" s="43">
        <v>0</v>
      </c>
    </row>
    <row r="28" spans="1:7" x14ac:dyDescent="0.2">
      <c r="A28" s="42" t="s">
        <v>167</v>
      </c>
      <c r="B28" s="20">
        <v>89433</v>
      </c>
      <c r="C28" s="20">
        <v>0</v>
      </c>
      <c r="D28" s="20">
        <v>38882</v>
      </c>
      <c r="E28" s="20">
        <v>0</v>
      </c>
      <c r="F28" s="20">
        <v>38882</v>
      </c>
      <c r="G28" s="43">
        <v>0</v>
      </c>
    </row>
    <row r="29" spans="1:7" x14ac:dyDescent="0.2">
      <c r="A29" s="42" t="s">
        <v>168</v>
      </c>
      <c r="B29" s="20">
        <v>43427</v>
      </c>
      <c r="C29" s="20">
        <v>0</v>
      </c>
      <c r="D29" s="20">
        <v>19484</v>
      </c>
      <c r="E29" s="20">
        <v>0</v>
      </c>
      <c r="F29" s="20">
        <v>19484</v>
      </c>
      <c r="G29" s="43">
        <v>0</v>
      </c>
    </row>
    <row r="30" spans="1:7" x14ac:dyDescent="0.2">
      <c r="A30" s="42" t="s">
        <v>169</v>
      </c>
      <c r="B30" s="20">
        <v>34663</v>
      </c>
      <c r="C30" s="20">
        <v>0</v>
      </c>
      <c r="D30" s="20">
        <v>15578</v>
      </c>
      <c r="E30" s="20">
        <v>0</v>
      </c>
      <c r="F30" s="20">
        <v>15578</v>
      </c>
      <c r="G30" s="43">
        <v>0</v>
      </c>
    </row>
    <row r="31" spans="1:7" x14ac:dyDescent="0.2">
      <c r="A31" s="42" t="s">
        <v>170</v>
      </c>
      <c r="B31" s="20">
        <v>54643</v>
      </c>
      <c r="C31" s="20">
        <v>0</v>
      </c>
      <c r="D31" s="20">
        <v>24141</v>
      </c>
      <c r="E31" s="20">
        <v>0</v>
      </c>
      <c r="F31" s="20">
        <v>24141</v>
      </c>
      <c r="G31" s="43">
        <v>0</v>
      </c>
    </row>
    <row r="32" spans="1:7" x14ac:dyDescent="0.2">
      <c r="A32" s="42" t="s">
        <v>171</v>
      </c>
      <c r="B32" s="20">
        <v>8764</v>
      </c>
      <c r="C32" s="20">
        <v>0</v>
      </c>
      <c r="D32" s="20">
        <v>3925</v>
      </c>
      <c r="E32" s="20">
        <v>0</v>
      </c>
      <c r="F32" s="20">
        <v>3925</v>
      </c>
      <c r="G32" s="43">
        <v>0</v>
      </c>
    </row>
    <row r="33" spans="1:7" x14ac:dyDescent="0.2">
      <c r="A33" s="42" t="s">
        <v>172</v>
      </c>
      <c r="B33" s="20">
        <v>16358</v>
      </c>
      <c r="C33" s="20">
        <v>0</v>
      </c>
      <c r="D33" s="20">
        <v>7161</v>
      </c>
      <c r="E33" s="20">
        <v>0</v>
      </c>
      <c r="F33" s="20">
        <v>7161</v>
      </c>
      <c r="G33" s="43">
        <v>0</v>
      </c>
    </row>
    <row r="34" spans="1:7" x14ac:dyDescent="0.2">
      <c r="A34" s="42" t="s">
        <v>173</v>
      </c>
      <c r="B34" s="20">
        <v>26477</v>
      </c>
      <c r="C34" s="20">
        <v>0</v>
      </c>
      <c r="D34" s="20">
        <v>12010</v>
      </c>
      <c r="E34" s="20">
        <v>0</v>
      </c>
      <c r="F34" s="20">
        <v>12010</v>
      </c>
      <c r="G34" s="43">
        <v>0</v>
      </c>
    </row>
    <row r="35" spans="1:7" x14ac:dyDescent="0.2">
      <c r="A35" s="42" t="s">
        <v>174</v>
      </c>
      <c r="B35" s="20">
        <v>8891</v>
      </c>
      <c r="C35" s="20">
        <v>0</v>
      </c>
      <c r="D35" s="20">
        <v>3800</v>
      </c>
      <c r="E35" s="20">
        <v>0</v>
      </c>
      <c r="F35" s="20">
        <v>3800</v>
      </c>
      <c r="G35" s="43">
        <v>0</v>
      </c>
    </row>
    <row r="36" spans="1:7" x14ac:dyDescent="0.2">
      <c r="A36" s="42" t="s">
        <v>175</v>
      </c>
      <c r="B36" s="20">
        <v>68865</v>
      </c>
      <c r="C36" s="20">
        <v>0</v>
      </c>
      <c r="D36" s="20">
        <v>29926</v>
      </c>
      <c r="E36" s="20">
        <v>0</v>
      </c>
      <c r="F36" s="20">
        <v>29926</v>
      </c>
      <c r="G36" s="43">
        <v>0</v>
      </c>
    </row>
    <row r="37" spans="1:7" x14ac:dyDescent="0.2">
      <c r="A37" s="42" t="s">
        <v>176</v>
      </c>
      <c r="B37" s="20">
        <v>22263</v>
      </c>
      <c r="C37" s="20">
        <v>0</v>
      </c>
      <c r="D37" s="20">
        <v>9848</v>
      </c>
      <c r="E37" s="20">
        <v>0</v>
      </c>
      <c r="F37" s="20">
        <v>9848</v>
      </c>
      <c r="G37" s="43">
        <v>0</v>
      </c>
    </row>
    <row r="38" spans="1:7" x14ac:dyDescent="0.2">
      <c r="A38" s="42" t="s">
        <v>177</v>
      </c>
      <c r="B38" s="20">
        <v>164286</v>
      </c>
      <c r="C38" s="20">
        <v>0</v>
      </c>
      <c r="D38" s="20">
        <v>72761</v>
      </c>
      <c r="E38" s="20">
        <v>0</v>
      </c>
      <c r="F38" s="20">
        <v>72761</v>
      </c>
      <c r="G38" s="43">
        <v>0</v>
      </c>
    </row>
    <row r="39" spans="1:7" x14ac:dyDescent="0.2">
      <c r="A39" s="42" t="s">
        <v>178</v>
      </c>
      <c r="B39" s="20">
        <v>95639</v>
      </c>
      <c r="C39" s="20">
        <v>0</v>
      </c>
      <c r="D39" s="20">
        <v>42921</v>
      </c>
      <c r="E39" s="20">
        <v>0</v>
      </c>
      <c r="F39" s="20">
        <v>42921</v>
      </c>
      <c r="G39" s="43">
        <v>0</v>
      </c>
    </row>
    <row r="40" spans="1:7" x14ac:dyDescent="0.2">
      <c r="A40" s="42" t="s">
        <v>179</v>
      </c>
      <c r="B40" s="20">
        <v>5933</v>
      </c>
      <c r="C40" s="20">
        <v>0</v>
      </c>
      <c r="D40" s="20">
        <v>2732</v>
      </c>
      <c r="E40" s="20">
        <v>0</v>
      </c>
      <c r="F40" s="20">
        <v>2732</v>
      </c>
      <c r="G40" s="43">
        <v>0</v>
      </c>
    </row>
    <row r="41" spans="1:7" x14ac:dyDescent="0.2">
      <c r="A41" s="42" t="s">
        <v>180</v>
      </c>
      <c r="B41" s="20">
        <v>104917</v>
      </c>
      <c r="C41" s="20">
        <v>0</v>
      </c>
      <c r="D41" s="20">
        <v>46295</v>
      </c>
      <c r="E41" s="20">
        <v>0</v>
      </c>
      <c r="F41" s="20">
        <v>46295</v>
      </c>
      <c r="G41" s="43">
        <v>0</v>
      </c>
    </row>
    <row r="42" spans="1:7" x14ac:dyDescent="0.2">
      <c r="A42" s="42" t="s">
        <v>181</v>
      </c>
      <c r="B42" s="20">
        <v>39919</v>
      </c>
      <c r="C42" s="20">
        <v>0</v>
      </c>
      <c r="D42" s="20">
        <v>17710</v>
      </c>
      <c r="E42" s="20">
        <v>0</v>
      </c>
      <c r="F42" s="20">
        <v>17710</v>
      </c>
      <c r="G42" s="43">
        <v>0</v>
      </c>
    </row>
    <row r="43" spans="1:7" x14ac:dyDescent="0.2">
      <c r="A43" s="42" t="s">
        <v>182</v>
      </c>
      <c r="B43" s="20">
        <v>32508</v>
      </c>
      <c r="C43" s="20">
        <v>0</v>
      </c>
      <c r="D43" s="20">
        <v>14172</v>
      </c>
      <c r="E43" s="20">
        <v>0</v>
      </c>
      <c r="F43" s="20">
        <v>14172</v>
      </c>
      <c r="G43" s="43">
        <v>0</v>
      </c>
    </row>
    <row r="44" spans="1:7" x14ac:dyDescent="0.2">
      <c r="A44" s="42" t="s">
        <v>183</v>
      </c>
      <c r="B44" s="20">
        <v>104418</v>
      </c>
      <c r="C44" s="20">
        <v>0</v>
      </c>
      <c r="D44" s="20">
        <v>47075</v>
      </c>
      <c r="E44" s="20">
        <v>0</v>
      </c>
      <c r="F44" s="20">
        <v>47075</v>
      </c>
      <c r="G44" s="43">
        <v>0</v>
      </c>
    </row>
    <row r="45" spans="1:7" x14ac:dyDescent="0.2">
      <c r="A45" s="42" t="s">
        <v>184</v>
      </c>
      <c r="B45" s="20">
        <v>8704</v>
      </c>
      <c r="C45" s="20">
        <v>0</v>
      </c>
      <c r="D45" s="20">
        <v>3804</v>
      </c>
      <c r="E45" s="20">
        <v>0</v>
      </c>
      <c r="F45" s="20">
        <v>3804</v>
      </c>
      <c r="G45" s="43">
        <v>0</v>
      </c>
    </row>
    <row r="46" spans="1:7" x14ac:dyDescent="0.2">
      <c r="A46" s="42" t="s">
        <v>185</v>
      </c>
      <c r="B46" s="20">
        <v>48468</v>
      </c>
      <c r="C46" s="20">
        <v>0</v>
      </c>
      <c r="D46" s="20">
        <v>21089</v>
      </c>
      <c r="E46" s="20">
        <v>0</v>
      </c>
      <c r="F46" s="20">
        <v>21089</v>
      </c>
      <c r="G46" s="43">
        <v>0</v>
      </c>
    </row>
    <row r="47" spans="1:7" x14ac:dyDescent="0.2">
      <c r="A47" s="42" t="s">
        <v>186</v>
      </c>
      <c r="B47" s="20">
        <v>7944</v>
      </c>
      <c r="C47" s="20">
        <v>0</v>
      </c>
      <c r="D47" s="20">
        <v>3503</v>
      </c>
      <c r="E47" s="20">
        <v>0</v>
      </c>
      <c r="F47" s="20">
        <v>3503</v>
      </c>
      <c r="G47" s="43">
        <v>0</v>
      </c>
    </row>
    <row r="48" spans="1:7" x14ac:dyDescent="0.2">
      <c r="A48" s="42" t="s">
        <v>187</v>
      </c>
      <c r="B48" s="20">
        <v>63582</v>
      </c>
      <c r="C48" s="20">
        <v>0</v>
      </c>
      <c r="D48" s="20">
        <v>27802</v>
      </c>
      <c r="E48" s="20">
        <v>0</v>
      </c>
      <c r="F48" s="20">
        <v>27802</v>
      </c>
      <c r="G48" s="43">
        <v>0</v>
      </c>
    </row>
    <row r="49" spans="1:7" x14ac:dyDescent="0.2">
      <c r="A49" s="42" t="s">
        <v>188</v>
      </c>
      <c r="B49" s="20">
        <v>307026</v>
      </c>
      <c r="C49" s="20">
        <v>0</v>
      </c>
      <c r="D49" s="20">
        <v>134331</v>
      </c>
      <c r="E49" s="20">
        <v>0</v>
      </c>
      <c r="F49" s="20">
        <v>134331</v>
      </c>
      <c r="G49" s="43">
        <v>0</v>
      </c>
    </row>
    <row r="50" spans="1:7" x14ac:dyDescent="0.2">
      <c r="A50" s="42" t="s">
        <v>189</v>
      </c>
      <c r="B50" s="20">
        <v>29190</v>
      </c>
      <c r="C50" s="20">
        <v>0</v>
      </c>
      <c r="D50" s="20">
        <v>13200</v>
      </c>
      <c r="E50" s="20">
        <v>0</v>
      </c>
      <c r="F50" s="20">
        <v>13200</v>
      </c>
      <c r="G50" s="43">
        <v>0</v>
      </c>
    </row>
    <row r="51" spans="1:7" x14ac:dyDescent="0.2">
      <c r="A51" s="42" t="s">
        <v>190</v>
      </c>
      <c r="B51" s="20">
        <v>4489</v>
      </c>
      <c r="C51" s="20">
        <v>0</v>
      </c>
      <c r="D51" s="20">
        <v>1931</v>
      </c>
      <c r="E51" s="20">
        <v>0</v>
      </c>
      <c r="F51" s="20">
        <v>1931</v>
      </c>
      <c r="G51" s="43">
        <v>0</v>
      </c>
    </row>
    <row r="52" spans="1:7" x14ac:dyDescent="0.2">
      <c r="A52" s="42" t="s">
        <v>191</v>
      </c>
      <c r="B52" s="20">
        <v>66775</v>
      </c>
      <c r="C52" s="20">
        <v>0</v>
      </c>
      <c r="D52" s="20">
        <v>29967</v>
      </c>
      <c r="E52" s="20">
        <v>0</v>
      </c>
      <c r="F52" s="20">
        <v>29967</v>
      </c>
      <c r="G52" s="43">
        <v>0</v>
      </c>
    </row>
    <row r="53" spans="1:7" x14ac:dyDescent="0.2">
      <c r="A53" s="42" t="s">
        <v>192</v>
      </c>
      <c r="B53" s="20">
        <v>56769</v>
      </c>
      <c r="C53" s="20">
        <v>0</v>
      </c>
      <c r="D53" s="20">
        <v>25452</v>
      </c>
      <c r="E53" s="20">
        <v>0</v>
      </c>
      <c r="F53" s="20">
        <v>25452</v>
      </c>
      <c r="G53" s="43">
        <v>0</v>
      </c>
    </row>
    <row r="54" spans="1:7" x14ac:dyDescent="0.2">
      <c r="A54" s="42" t="s">
        <v>193</v>
      </c>
      <c r="B54" s="20">
        <v>16353</v>
      </c>
      <c r="C54" s="20">
        <v>0</v>
      </c>
      <c r="D54" s="20">
        <v>7059</v>
      </c>
      <c r="E54" s="20">
        <v>0</v>
      </c>
      <c r="F54" s="20">
        <v>7059</v>
      </c>
      <c r="G54" s="43">
        <v>0</v>
      </c>
    </row>
    <row r="55" spans="1:7" x14ac:dyDescent="0.2">
      <c r="A55" s="42" t="s">
        <v>194</v>
      </c>
      <c r="B55" s="20">
        <v>46550</v>
      </c>
      <c r="C55" s="20">
        <v>0</v>
      </c>
      <c r="D55" s="20">
        <v>20833</v>
      </c>
      <c r="E55" s="20">
        <v>0</v>
      </c>
      <c r="F55" s="20">
        <v>20833</v>
      </c>
      <c r="G55" s="43">
        <v>0</v>
      </c>
    </row>
    <row r="56" spans="1:7" x14ac:dyDescent="0.2">
      <c r="A56" s="42" t="s">
        <v>195</v>
      </c>
      <c r="B56" s="20">
        <v>4701</v>
      </c>
      <c r="C56" s="20">
        <v>0</v>
      </c>
      <c r="D56" s="20">
        <v>2042</v>
      </c>
      <c r="E56" s="20">
        <v>0</v>
      </c>
      <c r="F56" s="20">
        <v>2042</v>
      </c>
      <c r="G56" s="43">
        <v>0</v>
      </c>
    </row>
    <row r="57" spans="1:7" x14ac:dyDescent="0.2">
      <c r="A57" s="42" t="s">
        <v>196</v>
      </c>
      <c r="B57" s="20">
        <v>0</v>
      </c>
      <c r="C57" s="20">
        <v>0</v>
      </c>
      <c r="D57" s="20">
        <v>0</v>
      </c>
      <c r="E57" s="20">
        <v>0</v>
      </c>
      <c r="F57" s="20">
        <v>0</v>
      </c>
      <c r="G57" s="43">
        <v>0</v>
      </c>
    </row>
    <row r="58" spans="1:7" x14ac:dyDescent="0.2">
      <c r="A58" s="42" t="s">
        <v>197</v>
      </c>
      <c r="B58" s="20">
        <v>0</v>
      </c>
      <c r="C58" s="20">
        <v>0</v>
      </c>
      <c r="D58" s="20">
        <v>0</v>
      </c>
      <c r="E58" s="20">
        <v>0</v>
      </c>
      <c r="F58" s="20">
        <v>0</v>
      </c>
      <c r="G58" s="43">
        <v>0</v>
      </c>
    </row>
    <row r="59" spans="1:7" x14ac:dyDescent="0.2">
      <c r="A59" s="42" t="s">
        <v>198</v>
      </c>
      <c r="B59" s="20">
        <v>0</v>
      </c>
      <c r="C59" s="20">
        <v>0</v>
      </c>
      <c r="D59" s="20">
        <v>0</v>
      </c>
      <c r="E59" s="20">
        <v>0</v>
      </c>
      <c r="F59" s="20">
        <v>0</v>
      </c>
      <c r="G59" s="43">
        <v>0</v>
      </c>
    </row>
    <row r="60" spans="1:7" x14ac:dyDescent="0.2">
      <c r="A60" s="42" t="s">
        <v>199</v>
      </c>
      <c r="B60" s="20">
        <v>47812</v>
      </c>
      <c r="C60" s="20">
        <v>0</v>
      </c>
      <c r="D60" s="20">
        <v>21830</v>
      </c>
      <c r="E60" s="20">
        <v>0</v>
      </c>
      <c r="F60" s="20">
        <v>21830</v>
      </c>
      <c r="G60" s="43">
        <v>0</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2953230</v>
      </c>
      <c r="C65" s="45">
        <v>0</v>
      </c>
      <c r="D65" s="45">
        <v>1303060</v>
      </c>
      <c r="E65" s="45">
        <v>0</v>
      </c>
      <c r="F65" s="45">
        <v>1303060</v>
      </c>
      <c r="G65" s="46">
        <v>0</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209</v>
      </c>
      <c r="B1" s="16"/>
      <c r="C1" s="16"/>
      <c r="D1" s="16"/>
      <c r="E1" s="16"/>
      <c r="F1" s="16"/>
      <c r="G1" s="15" t="s">
        <v>34</v>
      </c>
    </row>
    <row r="2" spans="1:7" x14ac:dyDescent="0.2">
      <c r="A2" s="17" t="s">
        <v>429</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0</v>
      </c>
      <c r="C6" s="20">
        <v>0</v>
      </c>
      <c r="D6" s="20">
        <v>45502</v>
      </c>
      <c r="E6" s="20">
        <v>44896</v>
      </c>
      <c r="F6" s="20">
        <v>90398</v>
      </c>
      <c r="G6" s="43">
        <v>0</v>
      </c>
    </row>
    <row r="7" spans="1:7" x14ac:dyDescent="0.2">
      <c r="A7" s="42" t="s">
        <v>146</v>
      </c>
      <c r="B7" s="20">
        <v>0</v>
      </c>
      <c r="C7" s="20">
        <v>0</v>
      </c>
      <c r="D7" s="20">
        <v>5368</v>
      </c>
      <c r="E7" s="20">
        <v>5882</v>
      </c>
      <c r="F7" s="20">
        <v>11250</v>
      </c>
      <c r="G7" s="43">
        <v>0</v>
      </c>
    </row>
    <row r="8" spans="1:7" x14ac:dyDescent="0.2">
      <c r="A8" s="42" t="s">
        <v>147</v>
      </c>
      <c r="B8" s="20">
        <v>0</v>
      </c>
      <c r="C8" s="20">
        <v>0</v>
      </c>
      <c r="D8" s="20">
        <v>54414</v>
      </c>
      <c r="E8" s="20">
        <v>54445</v>
      </c>
      <c r="F8" s="20">
        <v>108859</v>
      </c>
      <c r="G8" s="43">
        <v>0</v>
      </c>
    </row>
    <row r="9" spans="1:7" x14ac:dyDescent="0.2">
      <c r="A9" s="42" t="s">
        <v>148</v>
      </c>
      <c r="B9" s="20">
        <v>0</v>
      </c>
      <c r="C9" s="20">
        <v>0</v>
      </c>
      <c r="D9" s="20">
        <v>22872</v>
      </c>
      <c r="E9" s="20">
        <v>22903</v>
      </c>
      <c r="F9" s="20">
        <v>45775</v>
      </c>
      <c r="G9" s="43">
        <v>0</v>
      </c>
    </row>
    <row r="10" spans="1:7" x14ac:dyDescent="0.2">
      <c r="A10" s="42" t="s">
        <v>149</v>
      </c>
      <c r="B10" s="20">
        <v>0</v>
      </c>
      <c r="C10" s="20">
        <v>0</v>
      </c>
      <c r="D10" s="20">
        <v>187476</v>
      </c>
      <c r="E10" s="20">
        <v>181312</v>
      </c>
      <c r="F10" s="20">
        <v>368788</v>
      </c>
      <c r="G10" s="43">
        <v>0</v>
      </c>
    </row>
    <row r="11" spans="1:7" x14ac:dyDescent="0.2">
      <c r="A11" s="42" t="s">
        <v>150</v>
      </c>
      <c r="B11" s="20">
        <v>0</v>
      </c>
      <c r="C11" s="20">
        <v>0</v>
      </c>
      <c r="D11" s="20">
        <v>28434</v>
      </c>
      <c r="E11" s="20">
        <v>28710</v>
      </c>
      <c r="F11" s="20">
        <v>57144</v>
      </c>
      <c r="G11" s="43">
        <v>0</v>
      </c>
    </row>
    <row r="12" spans="1:7" x14ac:dyDescent="0.2">
      <c r="A12" s="42" t="s">
        <v>151</v>
      </c>
      <c r="B12" s="20">
        <v>0</v>
      </c>
      <c r="C12" s="20">
        <v>0</v>
      </c>
      <c r="D12" s="20">
        <v>15832</v>
      </c>
      <c r="E12" s="20">
        <v>15957</v>
      </c>
      <c r="F12" s="20">
        <v>31789</v>
      </c>
      <c r="G12" s="43">
        <v>0</v>
      </c>
    </row>
    <row r="13" spans="1:7" x14ac:dyDescent="0.2">
      <c r="A13" s="42" t="s">
        <v>152</v>
      </c>
      <c r="B13" s="20">
        <v>0</v>
      </c>
      <c r="C13" s="20">
        <v>0</v>
      </c>
      <c r="D13" s="20">
        <v>4966</v>
      </c>
      <c r="E13" s="20">
        <v>3889</v>
      </c>
      <c r="F13" s="20">
        <v>8855</v>
      </c>
      <c r="G13" s="43">
        <v>0</v>
      </c>
    </row>
    <row r="14" spans="1:7" x14ac:dyDescent="0.2">
      <c r="A14" s="42" t="s">
        <v>153</v>
      </c>
      <c r="B14" s="20">
        <v>0</v>
      </c>
      <c r="C14" s="20">
        <v>0</v>
      </c>
      <c r="D14" s="20">
        <v>5313</v>
      </c>
      <c r="E14" s="20">
        <v>4534</v>
      </c>
      <c r="F14" s="20">
        <v>9847</v>
      </c>
      <c r="G14" s="43">
        <v>0</v>
      </c>
    </row>
    <row r="15" spans="1:7" x14ac:dyDescent="0.2">
      <c r="A15" s="42" t="s">
        <v>154</v>
      </c>
      <c r="B15" s="20">
        <v>0</v>
      </c>
      <c r="C15" s="20">
        <v>0</v>
      </c>
      <c r="D15" s="20">
        <v>212978</v>
      </c>
      <c r="E15" s="20">
        <v>221189</v>
      </c>
      <c r="F15" s="20">
        <v>434167</v>
      </c>
      <c r="G15" s="43">
        <v>0</v>
      </c>
    </row>
    <row r="16" spans="1:7" x14ac:dyDescent="0.2">
      <c r="A16" s="42" t="s">
        <v>155</v>
      </c>
      <c r="B16" s="20">
        <v>0</v>
      </c>
      <c r="C16" s="20">
        <v>0</v>
      </c>
      <c r="D16" s="20">
        <v>79175</v>
      </c>
      <c r="E16" s="20">
        <v>75408</v>
      </c>
      <c r="F16" s="20">
        <v>154583</v>
      </c>
      <c r="G16" s="43">
        <v>0</v>
      </c>
    </row>
    <row r="17" spans="1:7" x14ac:dyDescent="0.2">
      <c r="A17" s="42" t="s">
        <v>156</v>
      </c>
      <c r="B17" s="20">
        <v>0</v>
      </c>
      <c r="C17" s="20">
        <v>0</v>
      </c>
      <c r="D17" s="20">
        <v>9815</v>
      </c>
      <c r="E17" s="20">
        <v>10365</v>
      </c>
      <c r="F17" s="20">
        <v>20180</v>
      </c>
      <c r="G17" s="43">
        <v>0</v>
      </c>
    </row>
    <row r="18" spans="1:7" x14ac:dyDescent="0.2">
      <c r="A18" s="42" t="s">
        <v>157</v>
      </c>
      <c r="B18" s="20">
        <v>0</v>
      </c>
      <c r="C18" s="20">
        <v>0</v>
      </c>
      <c r="D18" s="20">
        <v>19582</v>
      </c>
      <c r="E18" s="20">
        <v>21962</v>
      </c>
      <c r="F18" s="20">
        <v>41544</v>
      </c>
      <c r="G18" s="43">
        <v>0</v>
      </c>
    </row>
    <row r="19" spans="1:7" x14ac:dyDescent="0.2">
      <c r="A19" s="42" t="s">
        <v>158</v>
      </c>
      <c r="B19" s="20">
        <v>0</v>
      </c>
      <c r="C19" s="20">
        <v>0</v>
      </c>
      <c r="D19" s="20">
        <v>84490</v>
      </c>
      <c r="E19" s="20">
        <v>83246</v>
      </c>
      <c r="F19" s="20">
        <v>167736</v>
      </c>
      <c r="G19" s="43">
        <v>0</v>
      </c>
    </row>
    <row r="20" spans="1:7" x14ac:dyDescent="0.2">
      <c r="A20" s="42" t="s">
        <v>159</v>
      </c>
      <c r="B20" s="20">
        <v>0</v>
      </c>
      <c r="C20" s="20">
        <v>0</v>
      </c>
      <c r="D20" s="20">
        <v>81656</v>
      </c>
      <c r="E20" s="20">
        <v>78874</v>
      </c>
      <c r="F20" s="20">
        <v>160530</v>
      </c>
      <c r="G20" s="43">
        <v>0</v>
      </c>
    </row>
    <row r="21" spans="1:7" x14ac:dyDescent="0.2">
      <c r="A21" s="42" t="s">
        <v>160</v>
      </c>
      <c r="B21" s="20">
        <v>0</v>
      </c>
      <c r="C21" s="20">
        <v>0</v>
      </c>
      <c r="D21" s="20">
        <v>26271</v>
      </c>
      <c r="E21" s="20">
        <v>23744</v>
      </c>
      <c r="F21" s="20">
        <v>50015</v>
      </c>
      <c r="G21" s="43">
        <v>0</v>
      </c>
    </row>
    <row r="22" spans="1:7" x14ac:dyDescent="0.2">
      <c r="A22" s="42" t="s">
        <v>161</v>
      </c>
      <c r="B22" s="20">
        <v>0</v>
      </c>
      <c r="C22" s="20">
        <v>0</v>
      </c>
      <c r="D22" s="20">
        <v>26667</v>
      </c>
      <c r="E22" s="20">
        <v>25070</v>
      </c>
      <c r="F22" s="20">
        <v>51737</v>
      </c>
      <c r="G22" s="43">
        <v>0</v>
      </c>
    </row>
    <row r="23" spans="1:7" x14ac:dyDescent="0.2">
      <c r="A23" s="42" t="s">
        <v>162</v>
      </c>
      <c r="B23" s="20">
        <v>0</v>
      </c>
      <c r="C23" s="20">
        <v>0</v>
      </c>
      <c r="D23" s="20">
        <v>40818</v>
      </c>
      <c r="E23" s="20">
        <v>42666</v>
      </c>
      <c r="F23" s="20">
        <v>83484</v>
      </c>
      <c r="G23" s="43">
        <v>0</v>
      </c>
    </row>
    <row r="24" spans="1:7" x14ac:dyDescent="0.2">
      <c r="A24" s="42" t="s">
        <v>163</v>
      </c>
      <c r="B24" s="20">
        <v>0</v>
      </c>
      <c r="C24" s="20">
        <v>0</v>
      </c>
      <c r="D24" s="20">
        <v>55566</v>
      </c>
      <c r="E24" s="20">
        <v>55674</v>
      </c>
      <c r="F24" s="20">
        <v>111240</v>
      </c>
      <c r="G24" s="43">
        <v>0</v>
      </c>
    </row>
    <row r="25" spans="1:7" x14ac:dyDescent="0.2">
      <c r="A25" s="42" t="s">
        <v>164</v>
      </c>
      <c r="B25" s="20">
        <v>0</v>
      </c>
      <c r="C25" s="20">
        <v>0</v>
      </c>
      <c r="D25" s="20">
        <v>12751</v>
      </c>
      <c r="E25" s="20">
        <v>12327</v>
      </c>
      <c r="F25" s="20">
        <v>25078</v>
      </c>
      <c r="G25" s="43">
        <v>0</v>
      </c>
    </row>
    <row r="26" spans="1:7" x14ac:dyDescent="0.2">
      <c r="A26" s="42" t="s">
        <v>165</v>
      </c>
      <c r="B26" s="20">
        <v>0</v>
      </c>
      <c r="C26" s="20">
        <v>0</v>
      </c>
      <c r="D26" s="20">
        <v>35879</v>
      </c>
      <c r="E26" s="20">
        <v>39249</v>
      </c>
      <c r="F26" s="20">
        <v>75128</v>
      </c>
      <c r="G26" s="43">
        <v>0</v>
      </c>
    </row>
    <row r="27" spans="1:7" x14ac:dyDescent="0.2">
      <c r="A27" s="42" t="s">
        <v>166</v>
      </c>
      <c r="B27" s="20">
        <v>0</v>
      </c>
      <c r="C27" s="20">
        <v>0</v>
      </c>
      <c r="D27" s="20">
        <v>24225</v>
      </c>
      <c r="E27" s="20">
        <v>24826</v>
      </c>
      <c r="F27" s="20">
        <v>49051</v>
      </c>
      <c r="G27" s="43">
        <v>0</v>
      </c>
    </row>
    <row r="28" spans="1:7" x14ac:dyDescent="0.2">
      <c r="A28" s="42" t="s">
        <v>167</v>
      </c>
      <c r="B28" s="20">
        <v>0</v>
      </c>
      <c r="C28" s="20">
        <v>0</v>
      </c>
      <c r="D28" s="20">
        <v>86777</v>
      </c>
      <c r="E28" s="20">
        <v>86894</v>
      </c>
      <c r="F28" s="20">
        <v>173671</v>
      </c>
      <c r="G28" s="43">
        <v>0</v>
      </c>
    </row>
    <row r="29" spans="1:7" x14ac:dyDescent="0.2">
      <c r="A29" s="42" t="s">
        <v>168</v>
      </c>
      <c r="B29" s="20">
        <v>0</v>
      </c>
      <c r="C29" s="20">
        <v>0</v>
      </c>
      <c r="D29" s="20">
        <v>41907</v>
      </c>
      <c r="E29" s="20">
        <v>40489</v>
      </c>
      <c r="F29" s="20">
        <v>82396</v>
      </c>
      <c r="G29" s="43">
        <v>0</v>
      </c>
    </row>
    <row r="30" spans="1:7" x14ac:dyDescent="0.2">
      <c r="A30" s="42" t="s">
        <v>169</v>
      </c>
      <c r="B30" s="20">
        <v>0</v>
      </c>
      <c r="C30" s="20">
        <v>0</v>
      </c>
      <c r="D30" s="20">
        <v>31353</v>
      </c>
      <c r="E30" s="20">
        <v>30461</v>
      </c>
      <c r="F30" s="20">
        <v>61814</v>
      </c>
      <c r="G30" s="43">
        <v>0</v>
      </c>
    </row>
    <row r="31" spans="1:7" x14ac:dyDescent="0.2">
      <c r="A31" s="42" t="s">
        <v>170</v>
      </c>
      <c r="B31" s="20">
        <v>0</v>
      </c>
      <c r="C31" s="20">
        <v>0</v>
      </c>
      <c r="D31" s="20">
        <v>67550</v>
      </c>
      <c r="E31" s="20">
        <v>68642</v>
      </c>
      <c r="F31" s="20">
        <v>136192</v>
      </c>
      <c r="G31" s="43">
        <v>0</v>
      </c>
    </row>
    <row r="32" spans="1:7" x14ac:dyDescent="0.2">
      <c r="A32" s="42" t="s">
        <v>171</v>
      </c>
      <c r="B32" s="20">
        <v>0</v>
      </c>
      <c r="C32" s="20">
        <v>0</v>
      </c>
      <c r="D32" s="20">
        <v>12816</v>
      </c>
      <c r="E32" s="20">
        <v>12063</v>
      </c>
      <c r="F32" s="20">
        <v>24879</v>
      </c>
      <c r="G32" s="43">
        <v>0</v>
      </c>
    </row>
    <row r="33" spans="1:7" x14ac:dyDescent="0.2">
      <c r="A33" s="42" t="s">
        <v>172</v>
      </c>
      <c r="B33" s="20">
        <v>0</v>
      </c>
      <c r="C33" s="20">
        <v>0</v>
      </c>
      <c r="D33" s="20">
        <v>17272</v>
      </c>
      <c r="E33" s="20">
        <v>18619</v>
      </c>
      <c r="F33" s="20">
        <v>35891</v>
      </c>
      <c r="G33" s="43">
        <v>0</v>
      </c>
    </row>
    <row r="34" spans="1:7" x14ac:dyDescent="0.2">
      <c r="A34" s="42" t="s">
        <v>173</v>
      </c>
      <c r="B34" s="20">
        <v>0</v>
      </c>
      <c r="C34" s="20">
        <v>0</v>
      </c>
      <c r="D34" s="20">
        <v>19376</v>
      </c>
      <c r="E34" s="20">
        <v>18181</v>
      </c>
      <c r="F34" s="20">
        <v>37557</v>
      </c>
      <c r="G34" s="43">
        <v>0</v>
      </c>
    </row>
    <row r="35" spans="1:7" x14ac:dyDescent="0.2">
      <c r="A35" s="42" t="s">
        <v>174</v>
      </c>
      <c r="B35" s="20">
        <v>0</v>
      </c>
      <c r="C35" s="20">
        <v>0</v>
      </c>
      <c r="D35" s="20">
        <v>7069</v>
      </c>
      <c r="E35" s="20">
        <v>6699</v>
      </c>
      <c r="F35" s="20">
        <v>13768</v>
      </c>
      <c r="G35" s="43">
        <v>0</v>
      </c>
    </row>
    <row r="36" spans="1:7" x14ac:dyDescent="0.2">
      <c r="A36" s="42" t="s">
        <v>175</v>
      </c>
      <c r="B36" s="20">
        <v>0</v>
      </c>
      <c r="C36" s="20">
        <v>0</v>
      </c>
      <c r="D36" s="20">
        <v>68750</v>
      </c>
      <c r="E36" s="20">
        <v>70948</v>
      </c>
      <c r="F36" s="20">
        <v>139698</v>
      </c>
      <c r="G36" s="43">
        <v>0</v>
      </c>
    </row>
    <row r="37" spans="1:7" x14ac:dyDescent="0.2">
      <c r="A37" s="42" t="s">
        <v>176</v>
      </c>
      <c r="B37" s="20">
        <v>0</v>
      </c>
      <c r="C37" s="20">
        <v>0</v>
      </c>
      <c r="D37" s="20">
        <v>17282</v>
      </c>
      <c r="E37" s="20">
        <v>17426</v>
      </c>
      <c r="F37" s="20">
        <v>34708</v>
      </c>
      <c r="G37" s="43">
        <v>0</v>
      </c>
    </row>
    <row r="38" spans="1:7" x14ac:dyDescent="0.2">
      <c r="A38" s="42" t="s">
        <v>177</v>
      </c>
      <c r="B38" s="20">
        <v>0</v>
      </c>
      <c r="C38" s="20">
        <v>0</v>
      </c>
      <c r="D38" s="20">
        <v>250113</v>
      </c>
      <c r="E38" s="20">
        <v>252458</v>
      </c>
      <c r="F38" s="20">
        <v>502571</v>
      </c>
      <c r="G38" s="43">
        <v>0</v>
      </c>
    </row>
    <row r="39" spans="1:7" x14ac:dyDescent="0.2">
      <c r="A39" s="42" t="s">
        <v>178</v>
      </c>
      <c r="B39" s="20">
        <v>0</v>
      </c>
      <c r="C39" s="20">
        <v>0</v>
      </c>
      <c r="D39" s="20">
        <v>84824</v>
      </c>
      <c r="E39" s="20">
        <v>82952</v>
      </c>
      <c r="F39" s="20">
        <v>167776</v>
      </c>
      <c r="G39" s="43">
        <v>0</v>
      </c>
    </row>
    <row r="40" spans="1:7" x14ac:dyDescent="0.2">
      <c r="A40" s="42" t="s">
        <v>179</v>
      </c>
      <c r="B40" s="20">
        <v>0</v>
      </c>
      <c r="C40" s="20">
        <v>0</v>
      </c>
      <c r="D40" s="20">
        <v>3999</v>
      </c>
      <c r="E40" s="20">
        <v>4151</v>
      </c>
      <c r="F40" s="20">
        <v>8150</v>
      </c>
      <c r="G40" s="43">
        <v>0</v>
      </c>
    </row>
    <row r="41" spans="1:7" x14ac:dyDescent="0.2">
      <c r="A41" s="42" t="s">
        <v>180</v>
      </c>
      <c r="B41" s="20">
        <v>0</v>
      </c>
      <c r="C41" s="20">
        <v>0</v>
      </c>
      <c r="D41" s="20">
        <v>154896</v>
      </c>
      <c r="E41" s="20">
        <v>155190</v>
      </c>
      <c r="F41" s="20">
        <v>310086</v>
      </c>
      <c r="G41" s="43">
        <v>0</v>
      </c>
    </row>
    <row r="42" spans="1:7" x14ac:dyDescent="0.2">
      <c r="A42" s="42" t="s">
        <v>181</v>
      </c>
      <c r="B42" s="20">
        <v>0</v>
      </c>
      <c r="C42" s="20">
        <v>0</v>
      </c>
      <c r="D42" s="20">
        <v>30986</v>
      </c>
      <c r="E42" s="20">
        <v>31482</v>
      </c>
      <c r="F42" s="20">
        <v>62468</v>
      </c>
      <c r="G42" s="43">
        <v>0</v>
      </c>
    </row>
    <row r="43" spans="1:7" x14ac:dyDescent="0.2">
      <c r="A43" s="42" t="s">
        <v>182</v>
      </c>
      <c r="B43" s="20">
        <v>0</v>
      </c>
      <c r="C43" s="20">
        <v>0</v>
      </c>
      <c r="D43" s="20">
        <v>27595</v>
      </c>
      <c r="E43" s="20">
        <v>28356</v>
      </c>
      <c r="F43" s="20">
        <v>55951</v>
      </c>
      <c r="G43" s="43">
        <v>0</v>
      </c>
    </row>
    <row r="44" spans="1:7" x14ac:dyDescent="0.2">
      <c r="A44" s="42" t="s">
        <v>183</v>
      </c>
      <c r="B44" s="20">
        <v>0</v>
      </c>
      <c r="C44" s="20">
        <v>0</v>
      </c>
      <c r="D44" s="20">
        <v>150022</v>
      </c>
      <c r="E44" s="20">
        <v>152741</v>
      </c>
      <c r="F44" s="20">
        <v>302763</v>
      </c>
      <c r="G44" s="43">
        <v>0</v>
      </c>
    </row>
    <row r="45" spans="1:7" x14ac:dyDescent="0.2">
      <c r="A45" s="42" t="s">
        <v>184</v>
      </c>
      <c r="B45" s="20">
        <v>0</v>
      </c>
      <c r="C45" s="20">
        <v>0</v>
      </c>
      <c r="D45" s="20">
        <v>7149</v>
      </c>
      <c r="E45" s="20">
        <v>6210</v>
      </c>
      <c r="F45" s="20">
        <v>13359</v>
      </c>
      <c r="G45" s="43">
        <v>0</v>
      </c>
    </row>
    <row r="46" spans="1:7" x14ac:dyDescent="0.2">
      <c r="A46" s="42" t="s">
        <v>185</v>
      </c>
      <c r="B46" s="20">
        <v>0</v>
      </c>
      <c r="C46" s="20">
        <v>0</v>
      </c>
      <c r="D46" s="20">
        <v>39981</v>
      </c>
      <c r="E46" s="20">
        <v>40560</v>
      </c>
      <c r="F46" s="20">
        <v>80541</v>
      </c>
      <c r="G46" s="43">
        <v>0</v>
      </c>
    </row>
    <row r="47" spans="1:7" x14ac:dyDescent="0.2">
      <c r="A47" s="42" t="s">
        <v>186</v>
      </c>
      <c r="B47" s="20">
        <v>0</v>
      </c>
      <c r="C47" s="20">
        <v>0</v>
      </c>
      <c r="D47" s="20">
        <v>7773</v>
      </c>
      <c r="E47" s="20">
        <v>7609</v>
      </c>
      <c r="F47" s="20">
        <v>15382</v>
      </c>
      <c r="G47" s="43">
        <v>0</v>
      </c>
    </row>
    <row r="48" spans="1:7" x14ac:dyDescent="0.2">
      <c r="A48" s="42" t="s">
        <v>187</v>
      </c>
      <c r="B48" s="20">
        <v>0</v>
      </c>
      <c r="C48" s="20">
        <v>0</v>
      </c>
      <c r="D48" s="20">
        <v>72838</v>
      </c>
      <c r="E48" s="20">
        <v>73683</v>
      </c>
      <c r="F48" s="20">
        <v>146521</v>
      </c>
      <c r="G48" s="43">
        <v>0</v>
      </c>
    </row>
    <row r="49" spans="1:7" x14ac:dyDescent="0.2">
      <c r="A49" s="42" t="s">
        <v>188</v>
      </c>
      <c r="B49" s="20">
        <v>0</v>
      </c>
      <c r="C49" s="20">
        <v>0</v>
      </c>
      <c r="D49" s="20">
        <v>153168</v>
      </c>
      <c r="E49" s="20">
        <v>152146</v>
      </c>
      <c r="F49" s="20">
        <v>305314</v>
      </c>
      <c r="G49" s="43">
        <v>0</v>
      </c>
    </row>
    <row r="50" spans="1:7" x14ac:dyDescent="0.2">
      <c r="A50" s="42" t="s">
        <v>189</v>
      </c>
      <c r="B50" s="20">
        <v>0</v>
      </c>
      <c r="C50" s="20">
        <v>0</v>
      </c>
      <c r="D50" s="20">
        <v>23978</v>
      </c>
      <c r="E50" s="20">
        <v>26428</v>
      </c>
      <c r="F50" s="20">
        <v>50406</v>
      </c>
      <c r="G50" s="43">
        <v>0</v>
      </c>
    </row>
    <row r="51" spans="1:7" x14ac:dyDescent="0.2">
      <c r="A51" s="42" t="s">
        <v>190</v>
      </c>
      <c r="B51" s="20">
        <v>0</v>
      </c>
      <c r="C51" s="20">
        <v>0</v>
      </c>
      <c r="D51" s="20">
        <v>4284</v>
      </c>
      <c r="E51" s="20">
        <v>3877</v>
      </c>
      <c r="F51" s="20">
        <v>8161</v>
      </c>
      <c r="G51" s="43">
        <v>0</v>
      </c>
    </row>
    <row r="52" spans="1:7" x14ac:dyDescent="0.2">
      <c r="A52" s="42" t="s">
        <v>191</v>
      </c>
      <c r="B52" s="20">
        <v>0</v>
      </c>
      <c r="C52" s="20">
        <v>0</v>
      </c>
      <c r="D52" s="20">
        <v>46618</v>
      </c>
      <c r="E52" s="20">
        <v>46344</v>
      </c>
      <c r="F52" s="20">
        <v>92962</v>
      </c>
      <c r="G52" s="43">
        <v>0</v>
      </c>
    </row>
    <row r="53" spans="1:7" x14ac:dyDescent="0.2">
      <c r="A53" s="42" t="s">
        <v>192</v>
      </c>
      <c r="B53" s="20">
        <v>0</v>
      </c>
      <c r="C53" s="20">
        <v>0</v>
      </c>
      <c r="D53" s="20">
        <v>46263</v>
      </c>
      <c r="E53" s="20">
        <v>45745</v>
      </c>
      <c r="F53" s="20">
        <v>92008</v>
      </c>
      <c r="G53" s="43">
        <v>0</v>
      </c>
    </row>
    <row r="54" spans="1:7" x14ac:dyDescent="0.2">
      <c r="A54" s="42" t="s">
        <v>193</v>
      </c>
      <c r="B54" s="20">
        <v>0</v>
      </c>
      <c r="C54" s="20">
        <v>0</v>
      </c>
      <c r="D54" s="20">
        <v>9052</v>
      </c>
      <c r="E54" s="20">
        <v>9764</v>
      </c>
      <c r="F54" s="20">
        <v>18816</v>
      </c>
      <c r="G54" s="43">
        <v>0</v>
      </c>
    </row>
    <row r="55" spans="1:7" x14ac:dyDescent="0.2">
      <c r="A55" s="42" t="s">
        <v>194</v>
      </c>
      <c r="B55" s="20">
        <v>0</v>
      </c>
      <c r="C55" s="20">
        <v>0</v>
      </c>
      <c r="D55" s="20">
        <v>77492</v>
      </c>
      <c r="E55" s="20">
        <v>73876</v>
      </c>
      <c r="F55" s="20">
        <v>151368</v>
      </c>
      <c r="G55" s="43">
        <v>0</v>
      </c>
    </row>
    <row r="56" spans="1:7" x14ac:dyDescent="0.2">
      <c r="A56" s="42" t="s">
        <v>195</v>
      </c>
      <c r="B56" s="20">
        <v>0</v>
      </c>
      <c r="C56" s="20">
        <v>0</v>
      </c>
      <c r="D56" s="20">
        <v>4603</v>
      </c>
      <c r="E56" s="20">
        <v>4683</v>
      </c>
      <c r="F56" s="20">
        <v>9286</v>
      </c>
      <c r="G56" s="43">
        <v>0</v>
      </c>
    </row>
    <row r="57" spans="1:7" x14ac:dyDescent="0.2">
      <c r="A57" s="42" t="s">
        <v>196</v>
      </c>
      <c r="B57" s="20">
        <v>0</v>
      </c>
      <c r="C57" s="20">
        <v>0</v>
      </c>
      <c r="D57" s="20">
        <v>0</v>
      </c>
      <c r="E57" s="20">
        <v>0</v>
      </c>
      <c r="F57" s="20">
        <v>0</v>
      </c>
      <c r="G57" s="43">
        <v>0</v>
      </c>
    </row>
    <row r="58" spans="1:7" x14ac:dyDescent="0.2">
      <c r="A58" s="42" t="s">
        <v>197</v>
      </c>
      <c r="B58" s="20">
        <v>0</v>
      </c>
      <c r="C58" s="20">
        <v>0</v>
      </c>
      <c r="D58" s="20">
        <v>0</v>
      </c>
      <c r="E58" s="20">
        <v>0</v>
      </c>
      <c r="F58" s="20">
        <v>0</v>
      </c>
      <c r="G58" s="43">
        <v>0</v>
      </c>
    </row>
    <row r="59" spans="1:7" x14ac:dyDescent="0.2">
      <c r="A59" s="42" t="s">
        <v>198</v>
      </c>
      <c r="B59" s="20">
        <v>0</v>
      </c>
      <c r="C59" s="20">
        <v>0</v>
      </c>
      <c r="D59" s="20">
        <v>0</v>
      </c>
      <c r="E59" s="20">
        <v>0</v>
      </c>
      <c r="F59" s="20">
        <v>0</v>
      </c>
      <c r="G59" s="43">
        <v>0</v>
      </c>
    </row>
    <row r="60" spans="1:7" x14ac:dyDescent="0.2">
      <c r="A60" s="42" t="s">
        <v>199</v>
      </c>
      <c r="B60" s="20">
        <v>0</v>
      </c>
      <c r="C60" s="20">
        <v>0</v>
      </c>
      <c r="D60" s="20">
        <v>104161</v>
      </c>
      <c r="E60" s="20">
        <v>104193</v>
      </c>
      <c r="F60" s="20">
        <v>208354</v>
      </c>
      <c r="G60" s="43">
        <v>0</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0</v>
      </c>
      <c r="C65" s="45">
        <v>0</v>
      </c>
      <c r="D65" s="45">
        <v>2749997</v>
      </c>
      <c r="E65" s="45">
        <v>2749998</v>
      </c>
      <c r="F65" s="45">
        <v>5499995</v>
      </c>
      <c r="G65" s="46">
        <v>0</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G69"/>
  <sheetViews>
    <sheetView workbookViewId="0"/>
  </sheetViews>
  <sheetFormatPr defaultRowHeight="12.75" x14ac:dyDescent="0.2"/>
  <cols>
    <col min="1" max="1" width="30.7109375" customWidth="1"/>
    <col min="2" max="6" width="11.7109375" customWidth="1"/>
    <col min="7" max="7" width="12.5703125" customWidth="1"/>
  </cols>
  <sheetData>
    <row r="1" spans="1:7" ht="38.25" customHeight="1" x14ac:dyDescent="0.2">
      <c r="A1" s="15" t="s">
        <v>213</v>
      </c>
      <c r="B1" s="16"/>
      <c r="C1" s="16"/>
      <c r="D1" s="16"/>
      <c r="E1" s="16"/>
      <c r="F1" s="16"/>
      <c r="G1" s="21" t="s">
        <v>214</v>
      </c>
    </row>
    <row r="2" spans="1:7" x14ac:dyDescent="0.2">
      <c r="A2" s="17" t="s">
        <v>334</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426629</v>
      </c>
      <c r="C6" s="20">
        <v>0</v>
      </c>
      <c r="D6" s="20">
        <v>357811</v>
      </c>
      <c r="E6" s="20">
        <v>0</v>
      </c>
      <c r="F6" s="20">
        <v>367149</v>
      </c>
      <c r="G6" s="43">
        <v>386824</v>
      </c>
    </row>
    <row r="7" spans="1:7" x14ac:dyDescent="0.2">
      <c r="A7" s="42" t="s">
        <v>146</v>
      </c>
      <c r="B7" s="20">
        <v>32126</v>
      </c>
      <c r="C7" s="20">
        <v>0</v>
      </c>
      <c r="D7" s="20">
        <v>25024</v>
      </c>
      <c r="E7" s="20">
        <v>0</v>
      </c>
      <c r="F7" s="20">
        <v>25677</v>
      </c>
      <c r="G7" s="43">
        <v>27053</v>
      </c>
    </row>
    <row r="8" spans="1:7" x14ac:dyDescent="0.2">
      <c r="A8" s="42" t="s">
        <v>147</v>
      </c>
      <c r="B8" s="20">
        <v>266358</v>
      </c>
      <c r="C8" s="20">
        <v>0</v>
      </c>
      <c r="D8" s="20">
        <v>242559</v>
      </c>
      <c r="E8" s="20">
        <v>0</v>
      </c>
      <c r="F8" s="20">
        <v>248889</v>
      </c>
      <c r="G8" s="43">
        <v>262860</v>
      </c>
    </row>
    <row r="9" spans="1:7" x14ac:dyDescent="0.2">
      <c r="A9" s="42" t="s">
        <v>148</v>
      </c>
      <c r="B9" s="20">
        <v>177209</v>
      </c>
      <c r="C9" s="20">
        <v>0</v>
      </c>
      <c r="D9" s="20">
        <v>203470</v>
      </c>
      <c r="E9" s="20">
        <v>0</v>
      </c>
      <c r="F9" s="20">
        <v>208780</v>
      </c>
      <c r="G9" s="43">
        <v>219969</v>
      </c>
    </row>
    <row r="10" spans="1:7" x14ac:dyDescent="0.2">
      <c r="A10" s="42" t="s">
        <v>149</v>
      </c>
      <c r="B10" s="20">
        <v>3208988</v>
      </c>
      <c r="C10" s="20">
        <v>0</v>
      </c>
      <c r="D10" s="20">
        <v>3252669</v>
      </c>
      <c r="E10" s="20">
        <v>0</v>
      </c>
      <c r="F10" s="20">
        <v>3337555</v>
      </c>
      <c r="G10" s="43">
        <v>3516417</v>
      </c>
    </row>
    <row r="11" spans="1:7" x14ac:dyDescent="0.2">
      <c r="A11" s="42" t="s">
        <v>150</v>
      </c>
      <c r="B11" s="20">
        <v>315358</v>
      </c>
      <c r="C11" s="20">
        <v>0</v>
      </c>
      <c r="D11" s="20">
        <v>272500</v>
      </c>
      <c r="E11" s="20">
        <v>0</v>
      </c>
      <c r="F11" s="20">
        <v>279612</v>
      </c>
      <c r="G11" s="43">
        <v>294596</v>
      </c>
    </row>
    <row r="12" spans="1:7" x14ac:dyDescent="0.2">
      <c r="A12" s="42" t="s">
        <v>151</v>
      </c>
      <c r="B12" s="20">
        <v>107097</v>
      </c>
      <c r="C12" s="20">
        <v>0</v>
      </c>
      <c r="D12" s="20">
        <v>71606</v>
      </c>
      <c r="E12" s="20">
        <v>0</v>
      </c>
      <c r="F12" s="20">
        <v>73475</v>
      </c>
      <c r="G12" s="43">
        <v>77412</v>
      </c>
    </row>
    <row r="13" spans="1:7" x14ac:dyDescent="0.2">
      <c r="A13" s="42" t="s">
        <v>152</v>
      </c>
      <c r="B13" s="20">
        <v>40021</v>
      </c>
      <c r="C13" s="20">
        <v>0</v>
      </c>
      <c r="D13" s="20">
        <v>36412</v>
      </c>
      <c r="E13" s="20">
        <v>0</v>
      </c>
      <c r="F13" s="20">
        <v>37363</v>
      </c>
      <c r="G13" s="43">
        <v>39365</v>
      </c>
    </row>
    <row r="14" spans="1:7" x14ac:dyDescent="0.2">
      <c r="A14" s="42" t="s">
        <v>153</v>
      </c>
      <c r="B14" s="20">
        <v>52802</v>
      </c>
      <c r="C14" s="20">
        <v>0</v>
      </c>
      <c r="D14" s="20">
        <v>59561</v>
      </c>
      <c r="E14" s="20">
        <v>0</v>
      </c>
      <c r="F14" s="20">
        <v>61115</v>
      </c>
      <c r="G14" s="43">
        <v>65170</v>
      </c>
    </row>
    <row r="15" spans="1:7" x14ac:dyDescent="0.2">
      <c r="A15" s="42" t="s">
        <v>154</v>
      </c>
      <c r="B15" s="20">
        <v>842520</v>
      </c>
      <c r="C15" s="20">
        <v>0</v>
      </c>
      <c r="D15" s="20">
        <v>760962</v>
      </c>
      <c r="E15" s="20">
        <v>0</v>
      </c>
      <c r="F15" s="20">
        <v>780821</v>
      </c>
      <c r="G15" s="43">
        <v>827136</v>
      </c>
    </row>
    <row r="16" spans="1:7" x14ac:dyDescent="0.2">
      <c r="A16" s="42" t="s">
        <v>155</v>
      </c>
      <c r="B16" s="20">
        <v>469255</v>
      </c>
      <c r="C16" s="20">
        <v>0</v>
      </c>
      <c r="D16" s="20">
        <v>407974</v>
      </c>
      <c r="E16" s="20">
        <v>0</v>
      </c>
      <c r="F16" s="20">
        <v>418621</v>
      </c>
      <c r="G16" s="43">
        <v>441073</v>
      </c>
    </row>
    <row r="17" spans="1:7" x14ac:dyDescent="0.2">
      <c r="A17" s="42" t="s">
        <v>156</v>
      </c>
      <c r="B17" s="20">
        <v>66694</v>
      </c>
      <c r="C17" s="20">
        <v>0</v>
      </c>
      <c r="D17" s="20">
        <v>53872</v>
      </c>
      <c r="E17" s="20">
        <v>0</v>
      </c>
      <c r="F17" s="20">
        <v>55278</v>
      </c>
      <c r="G17" s="43">
        <v>58240</v>
      </c>
    </row>
    <row r="18" spans="1:7" x14ac:dyDescent="0.2">
      <c r="A18" s="42" t="s">
        <v>157</v>
      </c>
      <c r="B18" s="20">
        <v>83343</v>
      </c>
      <c r="C18" s="20">
        <v>0</v>
      </c>
      <c r="D18" s="20">
        <v>83487</v>
      </c>
      <c r="E18" s="20">
        <v>0</v>
      </c>
      <c r="F18" s="20">
        <v>85666</v>
      </c>
      <c r="G18" s="43">
        <v>90908</v>
      </c>
    </row>
    <row r="19" spans="1:7" x14ac:dyDescent="0.2">
      <c r="A19" s="42" t="s">
        <v>158</v>
      </c>
      <c r="B19" s="20">
        <v>414755</v>
      </c>
      <c r="C19" s="20">
        <v>0</v>
      </c>
      <c r="D19" s="20">
        <v>522361</v>
      </c>
      <c r="E19" s="20">
        <v>0</v>
      </c>
      <c r="F19" s="20">
        <v>535993</v>
      </c>
      <c r="G19" s="43">
        <v>564717</v>
      </c>
    </row>
    <row r="20" spans="1:7" x14ac:dyDescent="0.2">
      <c r="A20" s="42" t="s">
        <v>159</v>
      </c>
      <c r="B20" s="20">
        <v>276216</v>
      </c>
      <c r="C20" s="20">
        <v>0</v>
      </c>
      <c r="D20" s="20">
        <v>265182</v>
      </c>
      <c r="E20" s="20">
        <v>0</v>
      </c>
      <c r="F20" s="20">
        <v>272103</v>
      </c>
      <c r="G20" s="43">
        <v>286685</v>
      </c>
    </row>
    <row r="21" spans="1:7" x14ac:dyDescent="0.2">
      <c r="A21" s="42" t="s">
        <v>160</v>
      </c>
      <c r="B21" s="20">
        <v>145524</v>
      </c>
      <c r="C21" s="20">
        <v>0</v>
      </c>
      <c r="D21" s="20">
        <v>162288</v>
      </c>
      <c r="E21" s="20">
        <v>0</v>
      </c>
      <c r="F21" s="20">
        <v>166523</v>
      </c>
      <c r="G21" s="43">
        <v>175448</v>
      </c>
    </row>
    <row r="22" spans="1:7" x14ac:dyDescent="0.2">
      <c r="A22" s="42" t="s">
        <v>161</v>
      </c>
      <c r="B22" s="20">
        <v>125833</v>
      </c>
      <c r="C22" s="20">
        <v>0</v>
      </c>
      <c r="D22" s="20">
        <v>142679</v>
      </c>
      <c r="E22" s="20">
        <v>0</v>
      </c>
      <c r="F22" s="20">
        <v>146403</v>
      </c>
      <c r="G22" s="43">
        <v>154249</v>
      </c>
    </row>
    <row r="23" spans="1:7" x14ac:dyDescent="0.2">
      <c r="A23" s="42" t="s">
        <v>162</v>
      </c>
      <c r="B23" s="20">
        <v>230237</v>
      </c>
      <c r="C23" s="20">
        <v>0</v>
      </c>
      <c r="D23" s="20">
        <v>246966</v>
      </c>
      <c r="E23" s="20">
        <v>0</v>
      </c>
      <c r="F23" s="20">
        <v>253411</v>
      </c>
      <c r="G23" s="43">
        <v>266991</v>
      </c>
    </row>
    <row r="24" spans="1:7" x14ac:dyDescent="0.2">
      <c r="A24" s="42" t="s">
        <v>163</v>
      </c>
      <c r="B24" s="20">
        <v>394207</v>
      </c>
      <c r="C24" s="20">
        <v>0</v>
      </c>
      <c r="D24" s="20">
        <v>383695</v>
      </c>
      <c r="E24" s="20">
        <v>0</v>
      </c>
      <c r="F24" s="20">
        <v>393708</v>
      </c>
      <c r="G24" s="43">
        <v>414807</v>
      </c>
    </row>
    <row r="25" spans="1:7" x14ac:dyDescent="0.2">
      <c r="A25" s="42" t="s">
        <v>164</v>
      </c>
      <c r="B25" s="20">
        <v>39129</v>
      </c>
      <c r="C25" s="20">
        <v>0</v>
      </c>
      <c r="D25" s="20">
        <v>34809</v>
      </c>
      <c r="E25" s="20">
        <v>0</v>
      </c>
      <c r="F25" s="20">
        <v>35718</v>
      </c>
      <c r="G25" s="43">
        <v>37632</v>
      </c>
    </row>
    <row r="26" spans="1:7" x14ac:dyDescent="0.2">
      <c r="A26" s="42" t="s">
        <v>165</v>
      </c>
      <c r="B26" s="20">
        <v>334413</v>
      </c>
      <c r="C26" s="20">
        <v>0</v>
      </c>
      <c r="D26" s="20">
        <v>278104</v>
      </c>
      <c r="E26" s="20">
        <v>0</v>
      </c>
      <c r="F26" s="20">
        <v>285362</v>
      </c>
      <c r="G26" s="43">
        <v>300655</v>
      </c>
    </row>
    <row r="27" spans="1:7" x14ac:dyDescent="0.2">
      <c r="A27" s="42" t="s">
        <v>166</v>
      </c>
      <c r="B27" s="20">
        <v>765244</v>
      </c>
      <c r="C27" s="20">
        <v>0</v>
      </c>
      <c r="D27" s="20">
        <v>662633</v>
      </c>
      <c r="E27" s="20">
        <v>0</v>
      </c>
      <c r="F27" s="20">
        <v>679926</v>
      </c>
      <c r="G27" s="43">
        <v>716364</v>
      </c>
    </row>
    <row r="28" spans="1:7" x14ac:dyDescent="0.2">
      <c r="A28" s="42" t="s">
        <v>167</v>
      </c>
      <c r="B28" s="20">
        <v>289108</v>
      </c>
      <c r="C28" s="20">
        <v>0</v>
      </c>
      <c r="D28" s="20">
        <v>261363</v>
      </c>
      <c r="E28" s="20">
        <v>0</v>
      </c>
      <c r="F28" s="20">
        <v>268184</v>
      </c>
      <c r="G28" s="43">
        <v>282556</v>
      </c>
    </row>
    <row r="29" spans="1:7" x14ac:dyDescent="0.2">
      <c r="A29" s="42" t="s">
        <v>168</v>
      </c>
      <c r="B29" s="20">
        <v>137017</v>
      </c>
      <c r="C29" s="20">
        <v>0</v>
      </c>
      <c r="D29" s="20">
        <v>111843</v>
      </c>
      <c r="E29" s="20">
        <v>0</v>
      </c>
      <c r="F29" s="20">
        <v>114762</v>
      </c>
      <c r="G29" s="43">
        <v>121066</v>
      </c>
    </row>
    <row r="30" spans="1:7" x14ac:dyDescent="0.2">
      <c r="A30" s="42" t="s">
        <v>169</v>
      </c>
      <c r="B30" s="20">
        <v>271641</v>
      </c>
      <c r="C30" s="20">
        <v>0</v>
      </c>
      <c r="D30" s="20">
        <v>263906</v>
      </c>
      <c r="E30" s="20">
        <v>0</v>
      </c>
      <c r="F30" s="20">
        <v>270793</v>
      </c>
      <c r="G30" s="43">
        <v>285305</v>
      </c>
    </row>
    <row r="31" spans="1:7" x14ac:dyDescent="0.2">
      <c r="A31" s="42" t="s">
        <v>170</v>
      </c>
      <c r="B31" s="20">
        <v>294625</v>
      </c>
      <c r="C31" s="20">
        <v>0</v>
      </c>
      <c r="D31" s="20">
        <v>318354</v>
      </c>
      <c r="E31" s="20">
        <v>0</v>
      </c>
      <c r="F31" s="20">
        <v>326663</v>
      </c>
      <c r="G31" s="43">
        <v>344169</v>
      </c>
    </row>
    <row r="32" spans="1:7" x14ac:dyDescent="0.2">
      <c r="A32" s="42" t="s">
        <v>171</v>
      </c>
      <c r="B32" s="20">
        <v>96605</v>
      </c>
      <c r="C32" s="20">
        <v>0</v>
      </c>
      <c r="D32" s="20">
        <v>84427</v>
      </c>
      <c r="E32" s="20">
        <v>0</v>
      </c>
      <c r="F32" s="20">
        <v>86630</v>
      </c>
      <c r="G32" s="43">
        <v>91289</v>
      </c>
    </row>
    <row r="33" spans="1:7" x14ac:dyDescent="0.2">
      <c r="A33" s="42" t="s">
        <v>172</v>
      </c>
      <c r="B33" s="20">
        <v>92167</v>
      </c>
      <c r="C33" s="20">
        <v>0</v>
      </c>
      <c r="D33" s="20">
        <v>79573</v>
      </c>
      <c r="E33" s="20">
        <v>0</v>
      </c>
      <c r="F33" s="20">
        <v>81650</v>
      </c>
      <c r="G33" s="43">
        <v>86025</v>
      </c>
    </row>
    <row r="34" spans="1:7" x14ac:dyDescent="0.2">
      <c r="A34" s="42" t="s">
        <v>173</v>
      </c>
      <c r="B34" s="20">
        <v>83404</v>
      </c>
      <c r="C34" s="20">
        <v>0</v>
      </c>
      <c r="D34" s="20">
        <v>80533</v>
      </c>
      <c r="E34" s="20">
        <v>0</v>
      </c>
      <c r="F34" s="20">
        <v>82635</v>
      </c>
      <c r="G34" s="43">
        <v>87643</v>
      </c>
    </row>
    <row r="35" spans="1:7" x14ac:dyDescent="0.2">
      <c r="A35" s="42" t="s">
        <v>174</v>
      </c>
      <c r="B35" s="20">
        <v>47372</v>
      </c>
      <c r="C35" s="20">
        <v>0</v>
      </c>
      <c r="D35" s="20">
        <v>46566</v>
      </c>
      <c r="E35" s="20">
        <v>0</v>
      </c>
      <c r="F35" s="20">
        <v>47781</v>
      </c>
      <c r="G35" s="43">
        <v>50342</v>
      </c>
    </row>
    <row r="36" spans="1:7" x14ac:dyDescent="0.2">
      <c r="A36" s="42" t="s">
        <v>175</v>
      </c>
      <c r="B36" s="20">
        <v>548839</v>
      </c>
      <c r="C36" s="20">
        <v>0</v>
      </c>
      <c r="D36" s="20">
        <v>598317</v>
      </c>
      <c r="E36" s="20">
        <v>0</v>
      </c>
      <c r="F36" s="20">
        <v>613931</v>
      </c>
      <c r="G36" s="43">
        <v>646832</v>
      </c>
    </row>
    <row r="37" spans="1:7" x14ac:dyDescent="0.2">
      <c r="A37" s="42" t="s">
        <v>176</v>
      </c>
      <c r="B37" s="20">
        <v>107040</v>
      </c>
      <c r="C37" s="20">
        <v>0</v>
      </c>
      <c r="D37" s="20">
        <v>112468</v>
      </c>
      <c r="E37" s="20">
        <v>0</v>
      </c>
      <c r="F37" s="20">
        <v>115403</v>
      </c>
      <c r="G37" s="43">
        <v>121587</v>
      </c>
    </row>
    <row r="38" spans="1:7" x14ac:dyDescent="0.2">
      <c r="A38" s="42" t="s">
        <v>177</v>
      </c>
      <c r="B38" s="20">
        <v>1555817</v>
      </c>
      <c r="C38" s="20">
        <v>0</v>
      </c>
      <c r="D38" s="20">
        <v>1566975</v>
      </c>
      <c r="E38" s="20">
        <v>0</v>
      </c>
      <c r="F38" s="20">
        <v>1607869</v>
      </c>
      <c r="G38" s="43">
        <v>1694036</v>
      </c>
    </row>
    <row r="39" spans="1:7" x14ac:dyDescent="0.2">
      <c r="A39" s="42" t="s">
        <v>178</v>
      </c>
      <c r="B39" s="20">
        <v>528799</v>
      </c>
      <c r="C39" s="20">
        <v>0</v>
      </c>
      <c r="D39" s="20">
        <v>541684</v>
      </c>
      <c r="E39" s="20">
        <v>0</v>
      </c>
      <c r="F39" s="20">
        <v>555820</v>
      </c>
      <c r="G39" s="43">
        <v>586254</v>
      </c>
    </row>
    <row r="40" spans="1:7" x14ac:dyDescent="0.2">
      <c r="A40" s="42" t="s">
        <v>179</v>
      </c>
      <c r="B40" s="20">
        <v>28532</v>
      </c>
      <c r="C40" s="20">
        <v>0</v>
      </c>
      <c r="D40" s="20">
        <v>17968</v>
      </c>
      <c r="E40" s="20">
        <v>0</v>
      </c>
      <c r="F40" s="20">
        <v>18436</v>
      </c>
      <c r="G40" s="43">
        <v>19653</v>
      </c>
    </row>
    <row r="41" spans="1:7" x14ac:dyDescent="0.2">
      <c r="A41" s="42" t="s">
        <v>180</v>
      </c>
      <c r="B41" s="20">
        <v>550058</v>
      </c>
      <c r="C41" s="20">
        <v>0</v>
      </c>
      <c r="D41" s="20">
        <v>507903</v>
      </c>
      <c r="E41" s="20">
        <v>0</v>
      </c>
      <c r="F41" s="20">
        <v>521158</v>
      </c>
      <c r="G41" s="43">
        <v>549087</v>
      </c>
    </row>
    <row r="42" spans="1:7" x14ac:dyDescent="0.2">
      <c r="A42" s="42" t="s">
        <v>181</v>
      </c>
      <c r="B42" s="20">
        <v>246739</v>
      </c>
      <c r="C42" s="20">
        <v>0</v>
      </c>
      <c r="D42" s="20">
        <v>255843</v>
      </c>
      <c r="E42" s="20">
        <v>0</v>
      </c>
      <c r="F42" s="20">
        <v>262520</v>
      </c>
      <c r="G42" s="43">
        <v>276588</v>
      </c>
    </row>
    <row r="43" spans="1:7" x14ac:dyDescent="0.2">
      <c r="A43" s="42" t="s">
        <v>182</v>
      </c>
      <c r="B43" s="20">
        <v>511609</v>
      </c>
      <c r="C43" s="20">
        <v>0</v>
      </c>
      <c r="D43" s="20">
        <v>418725</v>
      </c>
      <c r="E43" s="20">
        <v>0</v>
      </c>
      <c r="F43" s="20">
        <v>429652</v>
      </c>
      <c r="G43" s="43">
        <v>452678</v>
      </c>
    </row>
    <row r="44" spans="1:7" x14ac:dyDescent="0.2">
      <c r="A44" s="42" t="s">
        <v>183</v>
      </c>
      <c r="B44" s="20">
        <v>705698</v>
      </c>
      <c r="C44" s="20">
        <v>0</v>
      </c>
      <c r="D44" s="20">
        <v>677554</v>
      </c>
      <c r="E44" s="20">
        <v>0</v>
      </c>
      <c r="F44" s="20">
        <v>695236</v>
      </c>
      <c r="G44" s="43">
        <v>732494</v>
      </c>
    </row>
    <row r="45" spans="1:7" x14ac:dyDescent="0.2">
      <c r="A45" s="42" t="s">
        <v>184</v>
      </c>
      <c r="B45" s="20">
        <v>98195</v>
      </c>
      <c r="C45" s="20">
        <v>0</v>
      </c>
      <c r="D45" s="20">
        <v>73695</v>
      </c>
      <c r="E45" s="20">
        <v>0</v>
      </c>
      <c r="F45" s="20">
        <v>75618</v>
      </c>
      <c r="G45" s="43">
        <v>79671</v>
      </c>
    </row>
    <row r="46" spans="1:7" x14ac:dyDescent="0.2">
      <c r="A46" s="42" t="s">
        <v>185</v>
      </c>
      <c r="B46" s="20">
        <v>195598</v>
      </c>
      <c r="C46" s="20">
        <v>0</v>
      </c>
      <c r="D46" s="20">
        <v>202576</v>
      </c>
      <c r="E46" s="20">
        <v>0</v>
      </c>
      <c r="F46" s="20">
        <v>207863</v>
      </c>
      <c r="G46" s="43">
        <v>219952</v>
      </c>
    </row>
    <row r="47" spans="1:7" x14ac:dyDescent="0.2">
      <c r="A47" s="42" t="s">
        <v>186</v>
      </c>
      <c r="B47" s="20">
        <v>33213</v>
      </c>
      <c r="C47" s="20">
        <v>0</v>
      </c>
      <c r="D47" s="20">
        <v>28735</v>
      </c>
      <c r="E47" s="20">
        <v>0</v>
      </c>
      <c r="F47" s="20">
        <v>29485</v>
      </c>
      <c r="G47" s="43">
        <v>31163</v>
      </c>
    </row>
    <row r="48" spans="1:7" x14ac:dyDescent="0.2">
      <c r="A48" s="42" t="s">
        <v>187</v>
      </c>
      <c r="B48" s="20">
        <v>247943</v>
      </c>
      <c r="C48" s="20">
        <v>0</v>
      </c>
      <c r="D48" s="20">
        <v>295946</v>
      </c>
      <c r="E48" s="20">
        <v>0</v>
      </c>
      <c r="F48" s="20">
        <v>303670</v>
      </c>
      <c r="G48" s="43">
        <v>320618</v>
      </c>
    </row>
    <row r="49" spans="1:7" x14ac:dyDescent="0.2">
      <c r="A49" s="42" t="s">
        <v>188</v>
      </c>
      <c r="B49" s="20">
        <v>1601525</v>
      </c>
      <c r="C49" s="20">
        <v>0</v>
      </c>
      <c r="D49" s="20">
        <v>1321131</v>
      </c>
      <c r="E49" s="20">
        <v>0</v>
      </c>
      <c r="F49" s="20">
        <v>1355609</v>
      </c>
      <c r="G49" s="43">
        <v>1433693</v>
      </c>
    </row>
    <row r="50" spans="1:7" x14ac:dyDescent="0.2">
      <c r="A50" s="42" t="s">
        <v>189</v>
      </c>
      <c r="B50" s="20">
        <v>143321</v>
      </c>
      <c r="C50" s="20">
        <v>0</v>
      </c>
      <c r="D50" s="20">
        <v>124083</v>
      </c>
      <c r="E50" s="20">
        <v>0</v>
      </c>
      <c r="F50" s="20">
        <v>127322</v>
      </c>
      <c r="G50" s="43">
        <v>134251</v>
      </c>
    </row>
    <row r="51" spans="1:7" x14ac:dyDescent="0.2">
      <c r="A51" s="42" t="s">
        <v>190</v>
      </c>
      <c r="B51" s="20">
        <v>29836</v>
      </c>
      <c r="C51" s="20">
        <v>0</v>
      </c>
      <c r="D51" s="20">
        <v>20226</v>
      </c>
      <c r="E51" s="20">
        <v>0</v>
      </c>
      <c r="F51" s="20">
        <v>20754</v>
      </c>
      <c r="G51" s="43">
        <v>21866</v>
      </c>
    </row>
    <row r="52" spans="1:7" x14ac:dyDescent="0.2">
      <c r="A52" s="42" t="s">
        <v>191</v>
      </c>
      <c r="B52" s="20">
        <v>399647</v>
      </c>
      <c r="C52" s="20">
        <v>0</v>
      </c>
      <c r="D52" s="20">
        <v>368442</v>
      </c>
      <c r="E52" s="20">
        <v>0</v>
      </c>
      <c r="F52" s="20">
        <v>378057</v>
      </c>
      <c r="G52" s="43">
        <v>398317</v>
      </c>
    </row>
    <row r="53" spans="1:7" x14ac:dyDescent="0.2">
      <c r="A53" s="42" t="s">
        <v>192</v>
      </c>
      <c r="B53" s="20">
        <v>251250</v>
      </c>
      <c r="C53" s="20">
        <v>0</v>
      </c>
      <c r="D53" s="20">
        <v>241340</v>
      </c>
      <c r="E53" s="20">
        <v>0</v>
      </c>
      <c r="F53" s="20">
        <v>247639</v>
      </c>
      <c r="G53" s="43">
        <v>261935</v>
      </c>
    </row>
    <row r="54" spans="1:7" x14ac:dyDescent="0.2">
      <c r="A54" s="42" t="s">
        <v>193</v>
      </c>
      <c r="B54" s="20">
        <v>81736</v>
      </c>
      <c r="C54" s="20">
        <v>0</v>
      </c>
      <c r="D54" s="20">
        <v>76804</v>
      </c>
      <c r="E54" s="20">
        <v>0</v>
      </c>
      <c r="F54" s="20">
        <v>78809</v>
      </c>
      <c r="G54" s="43">
        <v>83032</v>
      </c>
    </row>
    <row r="55" spans="1:7" x14ac:dyDescent="0.2">
      <c r="A55" s="42" t="s">
        <v>194</v>
      </c>
      <c r="B55" s="20">
        <v>288112</v>
      </c>
      <c r="C55" s="20">
        <v>0</v>
      </c>
      <c r="D55" s="20">
        <v>243733</v>
      </c>
      <c r="E55" s="20">
        <v>0</v>
      </c>
      <c r="F55" s="20">
        <v>250093</v>
      </c>
      <c r="G55" s="43">
        <v>263496</v>
      </c>
    </row>
    <row r="56" spans="1:7" x14ac:dyDescent="0.2">
      <c r="A56" s="42" t="s">
        <v>195</v>
      </c>
      <c r="B56" s="20">
        <v>14133</v>
      </c>
      <c r="C56" s="20">
        <v>0</v>
      </c>
      <c r="D56" s="20">
        <v>11880</v>
      </c>
      <c r="E56" s="20">
        <v>0</v>
      </c>
      <c r="F56" s="20">
        <v>12190</v>
      </c>
      <c r="G56" s="43">
        <v>12843</v>
      </c>
    </row>
    <row r="57" spans="1:7" x14ac:dyDescent="0.2">
      <c r="A57" s="42" t="s">
        <v>196</v>
      </c>
      <c r="B57" s="20">
        <v>5103</v>
      </c>
      <c r="C57" s="20">
        <v>0</v>
      </c>
      <c r="D57" s="20">
        <v>5931</v>
      </c>
      <c r="E57" s="20">
        <v>0</v>
      </c>
      <c r="F57" s="20">
        <v>6085</v>
      </c>
      <c r="G57" s="43">
        <v>6411</v>
      </c>
    </row>
    <row r="58" spans="1:7" x14ac:dyDescent="0.2">
      <c r="A58" s="42" t="s">
        <v>197</v>
      </c>
      <c r="B58" s="20">
        <v>34036</v>
      </c>
      <c r="C58" s="20">
        <v>0</v>
      </c>
      <c r="D58" s="20">
        <v>29898</v>
      </c>
      <c r="E58" s="20">
        <v>0</v>
      </c>
      <c r="F58" s="20">
        <v>30678</v>
      </c>
      <c r="G58" s="43">
        <v>32322</v>
      </c>
    </row>
    <row r="59" spans="1:7" x14ac:dyDescent="0.2">
      <c r="A59" s="42" t="s">
        <v>198</v>
      </c>
      <c r="B59" s="20">
        <v>11825</v>
      </c>
      <c r="C59" s="20">
        <v>0</v>
      </c>
      <c r="D59" s="20">
        <v>16786</v>
      </c>
      <c r="E59" s="20">
        <v>0</v>
      </c>
      <c r="F59" s="20">
        <v>17224</v>
      </c>
      <c r="G59" s="43">
        <v>18147</v>
      </c>
    </row>
    <row r="60" spans="1:7" x14ac:dyDescent="0.2">
      <c r="A60" s="42" t="s">
        <v>199</v>
      </c>
      <c r="B60" s="20">
        <v>192824</v>
      </c>
      <c r="C60" s="20">
        <v>0</v>
      </c>
      <c r="D60" s="20">
        <v>85074</v>
      </c>
      <c r="E60" s="20">
        <v>0</v>
      </c>
      <c r="F60" s="20">
        <v>87294</v>
      </c>
      <c r="G60" s="43">
        <v>91972</v>
      </c>
    </row>
    <row r="61" spans="1:7" x14ac:dyDescent="0.2">
      <c r="A61" s="42" t="s">
        <v>200</v>
      </c>
      <c r="B61" s="20">
        <v>0</v>
      </c>
      <c r="C61" s="20">
        <v>0</v>
      </c>
      <c r="D61" s="20">
        <v>0</v>
      </c>
      <c r="E61" s="20">
        <v>0</v>
      </c>
      <c r="F61" s="20">
        <v>0</v>
      </c>
      <c r="G61" s="43">
        <v>0</v>
      </c>
    </row>
    <row r="62" spans="1:7" x14ac:dyDescent="0.2">
      <c r="A62" s="42" t="s">
        <v>201</v>
      </c>
      <c r="B62" s="20">
        <v>11562</v>
      </c>
      <c r="C62" s="20">
        <v>0</v>
      </c>
      <c r="D62" s="20">
        <v>9429</v>
      </c>
      <c r="E62" s="20">
        <v>0</v>
      </c>
      <c r="F62" s="20">
        <v>9675</v>
      </c>
      <c r="G62" s="43">
        <v>10194</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460000</v>
      </c>
      <c r="F64" s="70" t="s">
        <v>683</v>
      </c>
      <c r="G64" s="69" t="s">
        <v>682</v>
      </c>
    </row>
    <row r="65" spans="1:7" ht="15" customHeight="1" x14ac:dyDescent="0.2">
      <c r="A65" s="44" t="s">
        <v>204</v>
      </c>
      <c r="B65" s="45">
        <v>18548887</v>
      </c>
      <c r="C65" s="45">
        <v>0</v>
      </c>
      <c r="D65" s="45">
        <v>17626335</v>
      </c>
      <c r="E65" s="45">
        <v>460000</v>
      </c>
      <c r="F65" s="45">
        <v>16067001</v>
      </c>
      <c r="G65" s="51">
        <v>16289000</v>
      </c>
    </row>
    <row r="66" spans="1:7" ht="15" customHeight="1" x14ac:dyDescent="0.2">
      <c r="A66" s="101" t="s">
        <v>205</v>
      </c>
      <c r="B66" s="101"/>
      <c r="C66" s="101"/>
      <c r="D66" s="101"/>
      <c r="E66" s="101"/>
      <c r="F66" s="101"/>
      <c r="G66" s="101"/>
    </row>
    <row r="67" spans="1:7" ht="15" customHeight="1" x14ac:dyDescent="0.2">
      <c r="A67" s="103" t="s">
        <v>215</v>
      </c>
      <c r="B67" s="103"/>
      <c r="C67" s="103"/>
      <c r="D67" s="103"/>
      <c r="E67" s="103"/>
      <c r="F67" s="103"/>
      <c r="G67" s="103"/>
    </row>
    <row r="68" spans="1:7" ht="15" customHeight="1" x14ac:dyDescent="0.2">
      <c r="A68" s="103" t="s">
        <v>216</v>
      </c>
      <c r="B68" s="103"/>
      <c r="C68" s="103"/>
      <c r="D68" s="103"/>
      <c r="E68" s="103"/>
      <c r="F68" s="103"/>
      <c r="G68" s="103"/>
    </row>
    <row r="69" spans="1:7" ht="15" customHeight="1" x14ac:dyDescent="0.2">
      <c r="A69" s="103"/>
      <c r="B69" s="103"/>
      <c r="C69" s="103"/>
      <c r="D69" s="103"/>
      <c r="E69" s="103"/>
      <c r="F69" s="103"/>
      <c r="G69" s="103"/>
    </row>
  </sheetData>
  <mergeCells count="8">
    <mergeCell ref="A68:G68"/>
    <mergeCell ref="A69:G69"/>
    <mergeCell ref="A4:A5"/>
    <mergeCell ref="B4:B5"/>
    <mergeCell ref="F4:F5"/>
    <mergeCell ref="G4:G5"/>
    <mergeCell ref="A66:G66"/>
    <mergeCell ref="A67:G67"/>
  </mergeCells>
  <pageMargins left="0.7" right="0.7" top="0.75" bottom="0.75" header="0.3" footer="0.3"/>
  <pageSetup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G69"/>
  <sheetViews>
    <sheetView workbookViewId="0"/>
  </sheetViews>
  <sheetFormatPr defaultRowHeight="12.75" x14ac:dyDescent="0.2"/>
  <cols>
    <col min="1" max="1" width="30.7109375" customWidth="1"/>
    <col min="2" max="6" width="11.7109375" customWidth="1"/>
    <col min="7" max="7" width="14.5703125" customWidth="1"/>
  </cols>
  <sheetData>
    <row r="1" spans="1:7" ht="38.25" customHeight="1" x14ac:dyDescent="0.2">
      <c r="A1" s="15" t="s">
        <v>213</v>
      </c>
      <c r="B1" s="16"/>
      <c r="C1" s="16"/>
      <c r="D1" s="16"/>
      <c r="E1" s="16"/>
      <c r="F1" s="16"/>
      <c r="G1" s="15" t="s">
        <v>217</v>
      </c>
    </row>
    <row r="2" spans="1:7" x14ac:dyDescent="0.2">
      <c r="A2" s="17" t="s">
        <v>335</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4809660</v>
      </c>
      <c r="C6" s="20">
        <v>0</v>
      </c>
      <c r="D6" s="20">
        <v>5296995</v>
      </c>
      <c r="E6" s="20">
        <v>0</v>
      </c>
      <c r="F6" s="20">
        <v>5296995</v>
      </c>
      <c r="G6" s="43">
        <v>5585779</v>
      </c>
    </row>
    <row r="7" spans="1:7" x14ac:dyDescent="0.2">
      <c r="A7" s="42" t="s">
        <v>146</v>
      </c>
      <c r="B7" s="20">
        <v>1633529</v>
      </c>
      <c r="C7" s="20">
        <v>0</v>
      </c>
      <c r="D7" s="20">
        <v>1750911</v>
      </c>
      <c r="E7" s="20">
        <v>0</v>
      </c>
      <c r="F7" s="20">
        <v>1750911</v>
      </c>
      <c r="G7" s="43">
        <v>1816723</v>
      </c>
    </row>
    <row r="8" spans="1:7" x14ac:dyDescent="0.2">
      <c r="A8" s="42" t="s">
        <v>147</v>
      </c>
      <c r="B8" s="20">
        <v>11631515</v>
      </c>
      <c r="C8" s="20">
        <v>0</v>
      </c>
      <c r="D8" s="20">
        <v>13991456</v>
      </c>
      <c r="E8" s="20">
        <v>0</v>
      </c>
      <c r="F8" s="20">
        <v>13991456</v>
      </c>
      <c r="G8" s="43">
        <v>13777053</v>
      </c>
    </row>
    <row r="9" spans="1:7" x14ac:dyDescent="0.2">
      <c r="A9" s="42" t="s">
        <v>148</v>
      </c>
      <c r="B9" s="20">
        <v>5632255</v>
      </c>
      <c r="C9" s="20">
        <v>0</v>
      </c>
      <c r="D9" s="20">
        <v>6172784</v>
      </c>
      <c r="E9" s="20">
        <v>0</v>
      </c>
      <c r="F9" s="20">
        <v>6172784</v>
      </c>
      <c r="G9" s="43">
        <v>5979369</v>
      </c>
    </row>
    <row r="10" spans="1:7" x14ac:dyDescent="0.2">
      <c r="A10" s="42" t="s">
        <v>149</v>
      </c>
      <c r="B10" s="20">
        <v>65532557</v>
      </c>
      <c r="C10" s="20">
        <v>0</v>
      </c>
      <c r="D10" s="20">
        <v>77408160</v>
      </c>
      <c r="E10" s="20">
        <v>0</v>
      </c>
      <c r="F10" s="20">
        <v>77408160</v>
      </c>
      <c r="G10" s="43">
        <v>75536260</v>
      </c>
    </row>
    <row r="11" spans="1:7" x14ac:dyDescent="0.2">
      <c r="A11" s="42" t="s">
        <v>150</v>
      </c>
      <c r="B11" s="20">
        <v>6171402</v>
      </c>
      <c r="C11" s="20">
        <v>0</v>
      </c>
      <c r="D11" s="20">
        <v>6746401</v>
      </c>
      <c r="E11" s="20">
        <v>0</v>
      </c>
      <c r="F11" s="20">
        <v>6746401</v>
      </c>
      <c r="G11" s="43">
        <v>6635428</v>
      </c>
    </row>
    <row r="12" spans="1:7" x14ac:dyDescent="0.2">
      <c r="A12" s="42" t="s">
        <v>151</v>
      </c>
      <c r="B12" s="20">
        <v>5511940</v>
      </c>
      <c r="C12" s="20">
        <v>0</v>
      </c>
      <c r="D12" s="20">
        <v>5911162</v>
      </c>
      <c r="E12" s="20">
        <v>0</v>
      </c>
      <c r="F12" s="20">
        <v>5911162</v>
      </c>
      <c r="G12" s="43">
        <v>5676856</v>
      </c>
    </row>
    <row r="13" spans="1:7" x14ac:dyDescent="0.2">
      <c r="A13" s="42" t="s">
        <v>152</v>
      </c>
      <c r="B13" s="20">
        <v>1692893</v>
      </c>
      <c r="C13" s="20">
        <v>0</v>
      </c>
      <c r="D13" s="20">
        <v>1795251</v>
      </c>
      <c r="E13" s="20">
        <v>0</v>
      </c>
      <c r="F13" s="20">
        <v>1795251</v>
      </c>
      <c r="G13" s="43">
        <v>1831154</v>
      </c>
    </row>
    <row r="14" spans="1:7" x14ac:dyDescent="0.2">
      <c r="A14" s="42" t="s">
        <v>153</v>
      </c>
      <c r="B14" s="20">
        <v>2574185</v>
      </c>
      <c r="C14" s="20">
        <v>0</v>
      </c>
      <c r="D14" s="20">
        <v>2942412</v>
      </c>
      <c r="E14" s="20">
        <v>0</v>
      </c>
      <c r="F14" s="20">
        <v>2942412</v>
      </c>
      <c r="G14" s="43">
        <v>2219389</v>
      </c>
    </row>
    <row r="15" spans="1:7" x14ac:dyDescent="0.2">
      <c r="A15" s="42" t="s">
        <v>154</v>
      </c>
      <c r="B15" s="20">
        <v>17206639</v>
      </c>
      <c r="C15" s="20">
        <v>0</v>
      </c>
      <c r="D15" s="20">
        <v>19447215</v>
      </c>
      <c r="E15" s="20">
        <v>0</v>
      </c>
      <c r="F15" s="20">
        <v>19447215</v>
      </c>
      <c r="G15" s="43">
        <v>18309258</v>
      </c>
    </row>
    <row r="16" spans="1:7" x14ac:dyDescent="0.2">
      <c r="A16" s="42" t="s">
        <v>155</v>
      </c>
      <c r="B16" s="20">
        <v>8479989</v>
      </c>
      <c r="C16" s="20">
        <v>0</v>
      </c>
      <c r="D16" s="20">
        <v>8761970</v>
      </c>
      <c r="E16" s="20">
        <v>0</v>
      </c>
      <c r="F16" s="20">
        <v>8761970</v>
      </c>
      <c r="G16" s="43">
        <v>8841822</v>
      </c>
    </row>
    <row r="17" spans="1:7" x14ac:dyDescent="0.2">
      <c r="A17" s="42" t="s">
        <v>156</v>
      </c>
      <c r="B17" s="20">
        <v>1642550</v>
      </c>
      <c r="C17" s="20">
        <v>0</v>
      </c>
      <c r="D17" s="20">
        <v>1841904</v>
      </c>
      <c r="E17" s="20">
        <v>0</v>
      </c>
      <c r="F17" s="20">
        <v>1841904</v>
      </c>
      <c r="G17" s="43">
        <v>1764938</v>
      </c>
    </row>
    <row r="18" spans="1:7" x14ac:dyDescent="0.2">
      <c r="A18" s="42" t="s">
        <v>157</v>
      </c>
      <c r="B18" s="20">
        <v>1998270</v>
      </c>
      <c r="C18" s="20">
        <v>0</v>
      </c>
      <c r="D18" s="20">
        <v>2485083</v>
      </c>
      <c r="E18" s="20">
        <v>0</v>
      </c>
      <c r="F18" s="20">
        <v>2485083</v>
      </c>
      <c r="G18" s="43">
        <v>2586015</v>
      </c>
    </row>
    <row r="19" spans="1:7" x14ac:dyDescent="0.2">
      <c r="A19" s="42" t="s">
        <v>158</v>
      </c>
      <c r="B19" s="20">
        <v>14669396</v>
      </c>
      <c r="C19" s="20">
        <v>0</v>
      </c>
      <c r="D19" s="20">
        <v>14935572</v>
      </c>
      <c r="E19" s="20">
        <v>0</v>
      </c>
      <c r="F19" s="20">
        <v>14935572</v>
      </c>
      <c r="G19" s="43">
        <v>12330693</v>
      </c>
    </row>
    <row r="20" spans="1:7" x14ac:dyDescent="0.2">
      <c r="A20" s="42" t="s">
        <v>159</v>
      </c>
      <c r="B20" s="20">
        <v>11024610</v>
      </c>
      <c r="C20" s="20">
        <v>0</v>
      </c>
      <c r="D20" s="20">
        <v>11925727</v>
      </c>
      <c r="E20" s="20">
        <v>0</v>
      </c>
      <c r="F20" s="20">
        <v>11925727</v>
      </c>
      <c r="G20" s="43">
        <v>11009276</v>
      </c>
    </row>
    <row r="21" spans="1:7" x14ac:dyDescent="0.2">
      <c r="A21" s="42" t="s">
        <v>160</v>
      </c>
      <c r="B21" s="20">
        <v>4191167</v>
      </c>
      <c r="C21" s="20">
        <v>0</v>
      </c>
      <c r="D21" s="20">
        <v>4343796</v>
      </c>
      <c r="E21" s="20">
        <v>0</v>
      </c>
      <c r="F21" s="20">
        <v>4343796</v>
      </c>
      <c r="G21" s="43">
        <v>3979884</v>
      </c>
    </row>
    <row r="22" spans="1:7" x14ac:dyDescent="0.2">
      <c r="A22" s="42" t="s">
        <v>161</v>
      </c>
      <c r="B22" s="20">
        <v>2612240</v>
      </c>
      <c r="C22" s="20">
        <v>0</v>
      </c>
      <c r="D22" s="20">
        <v>3003559</v>
      </c>
      <c r="E22" s="20">
        <v>0</v>
      </c>
      <c r="F22" s="20">
        <v>3003559</v>
      </c>
      <c r="G22" s="43">
        <v>2973292</v>
      </c>
    </row>
    <row r="23" spans="1:7" x14ac:dyDescent="0.2">
      <c r="A23" s="42" t="s">
        <v>162</v>
      </c>
      <c r="B23" s="20">
        <v>9807104</v>
      </c>
      <c r="C23" s="20">
        <v>0</v>
      </c>
      <c r="D23" s="20">
        <v>12928414</v>
      </c>
      <c r="E23" s="20">
        <v>0</v>
      </c>
      <c r="F23" s="20">
        <v>12928414</v>
      </c>
      <c r="G23" s="43">
        <v>12983506</v>
      </c>
    </row>
    <row r="24" spans="1:7" x14ac:dyDescent="0.2">
      <c r="A24" s="42" t="s">
        <v>163</v>
      </c>
      <c r="B24" s="20">
        <v>9838417</v>
      </c>
      <c r="C24" s="20">
        <v>0</v>
      </c>
      <c r="D24" s="20">
        <v>12675277</v>
      </c>
      <c r="E24" s="20">
        <v>0</v>
      </c>
      <c r="F24" s="20">
        <v>12675277</v>
      </c>
      <c r="G24" s="43">
        <v>11783290</v>
      </c>
    </row>
    <row r="25" spans="1:7" x14ac:dyDescent="0.2">
      <c r="A25" s="42" t="s">
        <v>164</v>
      </c>
      <c r="B25" s="20">
        <v>2374365</v>
      </c>
      <c r="C25" s="20">
        <v>0</v>
      </c>
      <c r="D25" s="20">
        <v>2566643</v>
      </c>
      <c r="E25" s="20">
        <v>0</v>
      </c>
      <c r="F25" s="20">
        <v>2566643</v>
      </c>
      <c r="G25" s="43">
        <v>2425355</v>
      </c>
    </row>
    <row r="26" spans="1:7" x14ac:dyDescent="0.2">
      <c r="A26" s="42" t="s">
        <v>165</v>
      </c>
      <c r="B26" s="20">
        <v>7843979</v>
      </c>
      <c r="C26" s="20">
        <v>0</v>
      </c>
      <c r="D26" s="20">
        <v>8298140</v>
      </c>
      <c r="E26" s="20">
        <v>0</v>
      </c>
      <c r="F26" s="20">
        <v>8298140</v>
      </c>
      <c r="G26" s="43">
        <v>7900113</v>
      </c>
    </row>
    <row r="27" spans="1:7" x14ac:dyDescent="0.2">
      <c r="A27" s="42" t="s">
        <v>166</v>
      </c>
      <c r="B27" s="20">
        <v>11262027</v>
      </c>
      <c r="C27" s="20">
        <v>0</v>
      </c>
      <c r="D27" s="20">
        <v>13035341</v>
      </c>
      <c r="E27" s="20">
        <v>0</v>
      </c>
      <c r="F27" s="20">
        <v>13035341</v>
      </c>
      <c r="G27" s="43">
        <v>11984663</v>
      </c>
    </row>
    <row r="28" spans="1:7" x14ac:dyDescent="0.2">
      <c r="A28" s="42" t="s">
        <v>167</v>
      </c>
      <c r="B28" s="20">
        <v>14491171</v>
      </c>
      <c r="C28" s="20">
        <v>0</v>
      </c>
      <c r="D28" s="20">
        <v>16537326</v>
      </c>
      <c r="E28" s="20">
        <v>0</v>
      </c>
      <c r="F28" s="20">
        <v>16537326</v>
      </c>
      <c r="G28" s="43">
        <v>16324956</v>
      </c>
    </row>
    <row r="29" spans="1:7" x14ac:dyDescent="0.2">
      <c r="A29" s="42" t="s">
        <v>168</v>
      </c>
      <c r="B29" s="20">
        <v>8739719</v>
      </c>
      <c r="C29" s="20">
        <v>0</v>
      </c>
      <c r="D29" s="20">
        <v>9845147</v>
      </c>
      <c r="E29" s="20">
        <v>0</v>
      </c>
      <c r="F29" s="20">
        <v>9845147</v>
      </c>
      <c r="G29" s="43">
        <v>10049731</v>
      </c>
    </row>
    <row r="30" spans="1:7" x14ac:dyDescent="0.2">
      <c r="A30" s="42" t="s">
        <v>169</v>
      </c>
      <c r="B30" s="20">
        <v>4688404</v>
      </c>
      <c r="C30" s="20">
        <v>0</v>
      </c>
      <c r="D30" s="20">
        <v>5187251</v>
      </c>
      <c r="E30" s="20">
        <v>0</v>
      </c>
      <c r="F30" s="20">
        <v>5187251</v>
      </c>
      <c r="G30" s="43">
        <v>4975213</v>
      </c>
    </row>
    <row r="31" spans="1:7" x14ac:dyDescent="0.2">
      <c r="A31" s="42" t="s">
        <v>170</v>
      </c>
      <c r="B31" s="20">
        <v>7993678</v>
      </c>
      <c r="C31" s="20">
        <v>0</v>
      </c>
      <c r="D31" s="20">
        <v>9351407</v>
      </c>
      <c r="E31" s="20">
        <v>0</v>
      </c>
      <c r="F31" s="20">
        <v>9351407</v>
      </c>
      <c r="G31" s="43">
        <v>10046549</v>
      </c>
    </row>
    <row r="32" spans="1:7" x14ac:dyDescent="0.2">
      <c r="A32" s="42" t="s">
        <v>171</v>
      </c>
      <c r="B32" s="20">
        <v>1654031</v>
      </c>
      <c r="C32" s="20">
        <v>0</v>
      </c>
      <c r="D32" s="20">
        <v>1727492</v>
      </c>
      <c r="E32" s="20">
        <v>0</v>
      </c>
      <c r="F32" s="20">
        <v>1727492</v>
      </c>
      <c r="G32" s="43">
        <v>1727147</v>
      </c>
    </row>
    <row r="33" spans="1:7" x14ac:dyDescent="0.2">
      <c r="A33" s="42" t="s">
        <v>172</v>
      </c>
      <c r="B33" s="20">
        <v>1486393</v>
      </c>
      <c r="C33" s="20">
        <v>0</v>
      </c>
      <c r="D33" s="20">
        <v>2038781</v>
      </c>
      <c r="E33" s="20">
        <v>0</v>
      </c>
      <c r="F33" s="20">
        <v>2038781</v>
      </c>
      <c r="G33" s="43">
        <v>1983796</v>
      </c>
    </row>
    <row r="34" spans="1:7" x14ac:dyDescent="0.2">
      <c r="A34" s="42" t="s">
        <v>173</v>
      </c>
      <c r="B34" s="20">
        <v>3320533</v>
      </c>
      <c r="C34" s="20">
        <v>0</v>
      </c>
      <c r="D34" s="20">
        <v>3821962</v>
      </c>
      <c r="E34" s="20">
        <v>0</v>
      </c>
      <c r="F34" s="20">
        <v>3821962</v>
      </c>
      <c r="G34" s="43">
        <v>4136800</v>
      </c>
    </row>
    <row r="35" spans="1:7" x14ac:dyDescent="0.2">
      <c r="A35" s="42" t="s">
        <v>174</v>
      </c>
      <c r="B35" s="20">
        <v>1443009</v>
      </c>
      <c r="C35" s="20">
        <v>0</v>
      </c>
      <c r="D35" s="20">
        <v>1586714</v>
      </c>
      <c r="E35" s="20">
        <v>0</v>
      </c>
      <c r="F35" s="20">
        <v>1586714</v>
      </c>
      <c r="G35" s="43">
        <v>1513934</v>
      </c>
    </row>
    <row r="36" spans="1:7" x14ac:dyDescent="0.2">
      <c r="A36" s="42" t="s">
        <v>175</v>
      </c>
      <c r="B36" s="20">
        <v>10857275</v>
      </c>
      <c r="C36" s="20">
        <v>0</v>
      </c>
      <c r="D36" s="20">
        <v>11643824</v>
      </c>
      <c r="E36" s="20">
        <v>0</v>
      </c>
      <c r="F36" s="20">
        <v>11643824</v>
      </c>
      <c r="G36" s="43">
        <v>12422149</v>
      </c>
    </row>
    <row r="37" spans="1:7" x14ac:dyDescent="0.2">
      <c r="A37" s="42" t="s">
        <v>176</v>
      </c>
      <c r="B37" s="20">
        <v>5384803</v>
      </c>
      <c r="C37" s="20">
        <v>0</v>
      </c>
      <c r="D37" s="20">
        <v>5927146</v>
      </c>
      <c r="E37" s="20">
        <v>0</v>
      </c>
      <c r="F37" s="20">
        <v>5927146</v>
      </c>
      <c r="G37" s="43">
        <v>5634098</v>
      </c>
    </row>
    <row r="38" spans="1:7" x14ac:dyDescent="0.2">
      <c r="A38" s="42" t="s">
        <v>177</v>
      </c>
      <c r="B38" s="20">
        <v>46511583</v>
      </c>
      <c r="C38" s="20">
        <v>0</v>
      </c>
      <c r="D38" s="20">
        <v>51458717</v>
      </c>
      <c r="E38" s="20">
        <v>0</v>
      </c>
      <c r="F38" s="20">
        <v>51458717</v>
      </c>
      <c r="G38" s="43">
        <v>49987393</v>
      </c>
    </row>
    <row r="39" spans="1:7" x14ac:dyDescent="0.2">
      <c r="A39" s="42" t="s">
        <v>178</v>
      </c>
      <c r="B39" s="20">
        <v>11170861</v>
      </c>
      <c r="C39" s="20">
        <v>0</v>
      </c>
      <c r="D39" s="20">
        <v>12040481</v>
      </c>
      <c r="E39" s="20">
        <v>0</v>
      </c>
      <c r="F39" s="20">
        <v>12040481</v>
      </c>
      <c r="G39" s="43">
        <v>12153597</v>
      </c>
    </row>
    <row r="40" spans="1:7" x14ac:dyDescent="0.2">
      <c r="A40" s="42" t="s">
        <v>179</v>
      </c>
      <c r="B40" s="20">
        <v>890865</v>
      </c>
      <c r="C40" s="20">
        <v>0</v>
      </c>
      <c r="D40" s="20">
        <v>981606</v>
      </c>
      <c r="E40" s="20">
        <v>0</v>
      </c>
      <c r="F40" s="20">
        <v>981606</v>
      </c>
      <c r="G40" s="43">
        <v>884182</v>
      </c>
    </row>
    <row r="41" spans="1:7" x14ac:dyDescent="0.2">
      <c r="A41" s="42" t="s">
        <v>180</v>
      </c>
      <c r="B41" s="20">
        <v>18816226</v>
      </c>
      <c r="C41" s="20">
        <v>0</v>
      </c>
      <c r="D41" s="20">
        <v>21602268</v>
      </c>
      <c r="E41" s="20">
        <v>0</v>
      </c>
      <c r="F41" s="20">
        <v>21602268</v>
      </c>
      <c r="G41" s="43">
        <v>22379172</v>
      </c>
    </row>
    <row r="42" spans="1:7" x14ac:dyDescent="0.2">
      <c r="A42" s="42" t="s">
        <v>181</v>
      </c>
      <c r="B42" s="20">
        <v>3721917</v>
      </c>
      <c r="C42" s="20">
        <v>0</v>
      </c>
      <c r="D42" s="20">
        <v>4647755</v>
      </c>
      <c r="E42" s="20">
        <v>0</v>
      </c>
      <c r="F42" s="20">
        <v>4647755</v>
      </c>
      <c r="G42" s="43">
        <v>4195532</v>
      </c>
    </row>
    <row r="43" spans="1:7" x14ac:dyDescent="0.2">
      <c r="A43" s="42" t="s">
        <v>182</v>
      </c>
      <c r="B43" s="20">
        <v>8310688</v>
      </c>
      <c r="C43" s="20">
        <v>0</v>
      </c>
      <c r="D43" s="20">
        <v>9551990</v>
      </c>
      <c r="E43" s="20">
        <v>0</v>
      </c>
      <c r="F43" s="20">
        <v>9551990</v>
      </c>
      <c r="G43" s="43">
        <v>9596184</v>
      </c>
    </row>
    <row r="44" spans="1:7" x14ac:dyDescent="0.2">
      <c r="A44" s="42" t="s">
        <v>183</v>
      </c>
      <c r="B44" s="20">
        <v>22585634</v>
      </c>
      <c r="C44" s="20">
        <v>0</v>
      </c>
      <c r="D44" s="20">
        <v>26024907</v>
      </c>
      <c r="E44" s="20">
        <v>0</v>
      </c>
      <c r="F44" s="20">
        <v>26024907</v>
      </c>
      <c r="G44" s="43">
        <v>24235711</v>
      </c>
    </row>
    <row r="45" spans="1:7" x14ac:dyDescent="0.2">
      <c r="A45" s="42" t="s">
        <v>184</v>
      </c>
      <c r="B45" s="20">
        <v>1892133</v>
      </c>
      <c r="C45" s="20">
        <v>0</v>
      </c>
      <c r="D45" s="20">
        <v>2107649</v>
      </c>
      <c r="E45" s="20">
        <v>0</v>
      </c>
      <c r="F45" s="20">
        <v>2107649</v>
      </c>
      <c r="G45" s="43">
        <v>1909118</v>
      </c>
    </row>
    <row r="46" spans="1:7" x14ac:dyDescent="0.2">
      <c r="A46" s="42" t="s">
        <v>185</v>
      </c>
      <c r="B46" s="20">
        <v>5261700</v>
      </c>
      <c r="C46" s="20">
        <v>0</v>
      </c>
      <c r="D46" s="20">
        <v>5748601</v>
      </c>
      <c r="E46" s="20">
        <v>0</v>
      </c>
      <c r="F46" s="20">
        <v>5748601</v>
      </c>
      <c r="G46" s="43">
        <v>5463083</v>
      </c>
    </row>
    <row r="47" spans="1:7" x14ac:dyDescent="0.2">
      <c r="A47" s="42" t="s">
        <v>186</v>
      </c>
      <c r="B47" s="20">
        <v>650543</v>
      </c>
      <c r="C47" s="20">
        <v>0</v>
      </c>
      <c r="D47" s="20">
        <v>720977</v>
      </c>
      <c r="E47" s="20">
        <v>0</v>
      </c>
      <c r="F47" s="20">
        <v>720977</v>
      </c>
      <c r="G47" s="43">
        <v>680672</v>
      </c>
    </row>
    <row r="48" spans="1:7" x14ac:dyDescent="0.2">
      <c r="A48" s="42" t="s">
        <v>187</v>
      </c>
      <c r="B48" s="20">
        <v>8560016</v>
      </c>
      <c r="C48" s="20">
        <v>0</v>
      </c>
      <c r="D48" s="20">
        <v>9288009</v>
      </c>
      <c r="E48" s="20">
        <v>0</v>
      </c>
      <c r="F48" s="20">
        <v>9288009</v>
      </c>
      <c r="G48" s="43">
        <v>9228202</v>
      </c>
    </row>
    <row r="49" spans="1:7" x14ac:dyDescent="0.2">
      <c r="A49" s="42" t="s">
        <v>188</v>
      </c>
      <c r="B49" s="20">
        <v>28444359</v>
      </c>
      <c r="C49" s="20">
        <v>0</v>
      </c>
      <c r="D49" s="20">
        <v>32867898</v>
      </c>
      <c r="E49" s="20">
        <v>0</v>
      </c>
      <c r="F49" s="20">
        <v>32867898</v>
      </c>
      <c r="G49" s="43">
        <v>29126544</v>
      </c>
    </row>
    <row r="50" spans="1:7" x14ac:dyDescent="0.2">
      <c r="A50" s="42" t="s">
        <v>189</v>
      </c>
      <c r="B50" s="20">
        <v>2430057</v>
      </c>
      <c r="C50" s="20">
        <v>0</v>
      </c>
      <c r="D50" s="20">
        <v>2704044</v>
      </c>
      <c r="E50" s="20">
        <v>0</v>
      </c>
      <c r="F50" s="20">
        <v>2704044</v>
      </c>
      <c r="G50" s="43">
        <v>2607832</v>
      </c>
    </row>
    <row r="51" spans="1:7" x14ac:dyDescent="0.2">
      <c r="A51" s="42" t="s">
        <v>190</v>
      </c>
      <c r="B51" s="20">
        <v>1144899</v>
      </c>
      <c r="C51" s="20">
        <v>0</v>
      </c>
      <c r="D51" s="20">
        <v>1212789</v>
      </c>
      <c r="E51" s="20">
        <v>0</v>
      </c>
      <c r="F51" s="20">
        <v>1212789</v>
      </c>
      <c r="G51" s="43">
        <v>1117613</v>
      </c>
    </row>
    <row r="52" spans="1:7" x14ac:dyDescent="0.2">
      <c r="A52" s="42" t="s">
        <v>191</v>
      </c>
      <c r="B52" s="20">
        <v>8875948</v>
      </c>
      <c r="C52" s="20">
        <v>0</v>
      </c>
      <c r="D52" s="20">
        <v>11970382</v>
      </c>
      <c r="E52" s="20">
        <v>0</v>
      </c>
      <c r="F52" s="20">
        <v>11970382</v>
      </c>
      <c r="G52" s="43">
        <v>11777714</v>
      </c>
    </row>
    <row r="53" spans="1:7" x14ac:dyDescent="0.2">
      <c r="A53" s="42" t="s">
        <v>192</v>
      </c>
      <c r="B53" s="20">
        <v>9366486</v>
      </c>
      <c r="C53" s="20">
        <v>0</v>
      </c>
      <c r="D53" s="20">
        <v>11896480</v>
      </c>
      <c r="E53" s="20">
        <v>0</v>
      </c>
      <c r="F53" s="20">
        <v>11896480</v>
      </c>
      <c r="G53" s="43">
        <v>15860360</v>
      </c>
    </row>
    <row r="54" spans="1:7" x14ac:dyDescent="0.2">
      <c r="A54" s="42" t="s">
        <v>193</v>
      </c>
      <c r="B54" s="20">
        <v>3500800</v>
      </c>
      <c r="C54" s="20">
        <v>0</v>
      </c>
      <c r="D54" s="20">
        <v>3843715</v>
      </c>
      <c r="E54" s="20">
        <v>0</v>
      </c>
      <c r="F54" s="20">
        <v>3843715</v>
      </c>
      <c r="G54" s="43">
        <v>3954746</v>
      </c>
    </row>
    <row r="55" spans="1:7" x14ac:dyDescent="0.2">
      <c r="A55" s="42" t="s">
        <v>194</v>
      </c>
      <c r="B55" s="20">
        <v>6430029</v>
      </c>
      <c r="C55" s="20">
        <v>0</v>
      </c>
      <c r="D55" s="20">
        <v>7176304</v>
      </c>
      <c r="E55" s="20">
        <v>0</v>
      </c>
      <c r="F55" s="20">
        <v>7176304</v>
      </c>
      <c r="G55" s="43">
        <v>6732192</v>
      </c>
    </row>
    <row r="56" spans="1:7" x14ac:dyDescent="0.2">
      <c r="A56" s="42" t="s">
        <v>195</v>
      </c>
      <c r="B56" s="20">
        <v>405846</v>
      </c>
      <c r="C56" s="20">
        <v>0</v>
      </c>
      <c r="D56" s="20">
        <v>429557</v>
      </c>
      <c r="E56" s="20">
        <v>0</v>
      </c>
      <c r="F56" s="20">
        <v>429557</v>
      </c>
      <c r="G56" s="43">
        <v>416644</v>
      </c>
    </row>
    <row r="57" spans="1:7" x14ac:dyDescent="0.2">
      <c r="A57" s="42" t="s">
        <v>196</v>
      </c>
      <c r="B57" s="20">
        <v>46141</v>
      </c>
      <c r="C57" s="20">
        <v>0</v>
      </c>
      <c r="D57" s="20">
        <v>85550</v>
      </c>
      <c r="E57" s="20">
        <v>0</v>
      </c>
      <c r="F57" s="20">
        <v>85550</v>
      </c>
      <c r="G57" s="43">
        <v>13000</v>
      </c>
    </row>
    <row r="58" spans="1:7" x14ac:dyDescent="0.2">
      <c r="A58" s="42" t="s">
        <v>197</v>
      </c>
      <c r="B58" s="20">
        <v>122816</v>
      </c>
      <c r="C58" s="20">
        <v>0</v>
      </c>
      <c r="D58" s="20">
        <v>129712</v>
      </c>
      <c r="E58" s="20">
        <v>0</v>
      </c>
      <c r="F58" s="20">
        <v>129712</v>
      </c>
      <c r="G58" s="43">
        <v>19200</v>
      </c>
    </row>
    <row r="59" spans="1:7" x14ac:dyDescent="0.2">
      <c r="A59" s="42" t="s">
        <v>198</v>
      </c>
      <c r="B59" s="20">
        <v>39141</v>
      </c>
      <c r="C59" s="20">
        <v>0</v>
      </c>
      <c r="D59" s="20">
        <v>65725</v>
      </c>
      <c r="E59" s="20">
        <v>0</v>
      </c>
      <c r="F59" s="20">
        <v>65725</v>
      </c>
      <c r="G59" s="43">
        <v>7200</v>
      </c>
    </row>
    <row r="60" spans="1:7" x14ac:dyDescent="0.2">
      <c r="A60" s="42" t="s">
        <v>199</v>
      </c>
      <c r="B60" s="20">
        <v>2516888</v>
      </c>
      <c r="C60" s="20">
        <v>0</v>
      </c>
      <c r="D60" s="20">
        <v>2952606</v>
      </c>
      <c r="E60" s="20">
        <v>0</v>
      </c>
      <c r="F60" s="20">
        <v>2952606</v>
      </c>
      <c r="G60" s="43">
        <v>392500</v>
      </c>
    </row>
    <row r="61" spans="1:7" x14ac:dyDescent="0.2">
      <c r="A61" s="42" t="s">
        <v>200</v>
      </c>
      <c r="B61" s="20">
        <v>0</v>
      </c>
      <c r="C61" s="20">
        <v>0</v>
      </c>
      <c r="D61" s="20">
        <v>0</v>
      </c>
      <c r="E61" s="20">
        <v>0</v>
      </c>
      <c r="F61" s="20">
        <v>0</v>
      </c>
      <c r="G61" s="43">
        <v>0</v>
      </c>
    </row>
    <row r="62" spans="1:7" x14ac:dyDescent="0.2">
      <c r="A62" s="42" t="s">
        <v>201</v>
      </c>
      <c r="B62" s="20">
        <v>77805</v>
      </c>
      <c r="C62" s="20">
        <v>0</v>
      </c>
      <c r="D62" s="20">
        <v>103706</v>
      </c>
      <c r="E62" s="20">
        <v>0</v>
      </c>
      <c r="F62" s="20">
        <v>103706</v>
      </c>
      <c r="G62" s="43">
        <v>19600</v>
      </c>
    </row>
    <row r="63" spans="1:7" x14ac:dyDescent="0.2">
      <c r="A63" s="42" t="s">
        <v>202</v>
      </c>
      <c r="B63" s="20">
        <v>0</v>
      </c>
      <c r="C63" s="20">
        <v>0</v>
      </c>
      <c r="D63" s="20">
        <v>0</v>
      </c>
      <c r="E63" s="20">
        <v>0</v>
      </c>
      <c r="F63" s="20">
        <v>0</v>
      </c>
      <c r="G63" s="43">
        <v>0</v>
      </c>
    </row>
    <row r="64" spans="1:7" x14ac:dyDescent="0.2">
      <c r="A64" s="42" t="s">
        <v>203</v>
      </c>
      <c r="B64" s="20">
        <v>53915884</v>
      </c>
      <c r="C64" s="20">
        <v>0</v>
      </c>
      <c r="D64" s="20">
        <v>25680003</v>
      </c>
      <c r="E64" s="20">
        <v>9959104</v>
      </c>
      <c r="F64" s="20">
        <v>35639107</v>
      </c>
      <c r="G64" s="43">
        <v>101388062</v>
      </c>
    </row>
    <row r="65" spans="1:7" ht="15" customHeight="1" x14ac:dyDescent="0.2">
      <c r="A65" s="44" t="s">
        <v>204</v>
      </c>
      <c r="B65" s="45">
        <v>513888970</v>
      </c>
      <c r="C65" s="45">
        <v>0</v>
      </c>
      <c r="D65" s="45">
        <v>551222654</v>
      </c>
      <c r="E65" s="45">
        <v>9959104</v>
      </c>
      <c r="F65" s="45">
        <v>561181758</v>
      </c>
      <c r="G65" s="51">
        <v>610890542</v>
      </c>
    </row>
    <row r="66" spans="1:7" ht="15" customHeight="1" x14ac:dyDescent="0.2">
      <c r="A66" s="101" t="s">
        <v>205</v>
      </c>
      <c r="B66" s="101"/>
      <c r="C66" s="101"/>
      <c r="D66" s="101"/>
      <c r="E66" s="101"/>
      <c r="F66" s="101"/>
      <c r="G66" s="101"/>
    </row>
    <row r="67" spans="1:7" ht="29.25" customHeight="1" x14ac:dyDescent="0.2">
      <c r="A67" s="102" t="s">
        <v>584</v>
      </c>
      <c r="B67" s="102"/>
      <c r="C67" s="102"/>
      <c r="D67" s="102"/>
      <c r="E67" s="102"/>
      <c r="F67" s="102"/>
      <c r="G67" s="102"/>
    </row>
    <row r="68" spans="1:7" ht="28.5" customHeight="1" x14ac:dyDescent="0.2">
      <c r="A68" s="102" t="s">
        <v>585</v>
      </c>
      <c r="B68" s="102"/>
      <c r="C68" s="102"/>
      <c r="D68" s="102"/>
      <c r="E68" s="102"/>
      <c r="F68" s="102"/>
      <c r="G68" s="102"/>
    </row>
    <row r="69" spans="1:7" ht="15" customHeight="1" x14ac:dyDescent="0.2">
      <c r="A69" s="102" t="s">
        <v>583</v>
      </c>
      <c r="B69" s="103"/>
      <c r="C69" s="103"/>
      <c r="D69" s="103"/>
      <c r="E69" s="103"/>
      <c r="F69" s="103"/>
      <c r="G69" s="103"/>
    </row>
  </sheetData>
  <mergeCells count="8">
    <mergeCell ref="A68:G68"/>
    <mergeCell ref="A69:G69"/>
    <mergeCell ref="A4:A5"/>
    <mergeCell ref="B4:B5"/>
    <mergeCell ref="F4:F5"/>
    <mergeCell ref="G4:G5"/>
    <mergeCell ref="A66:G66"/>
    <mergeCell ref="A67:G67"/>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219</v>
      </c>
    </row>
    <row r="2" spans="1:7" x14ac:dyDescent="0.2">
      <c r="A2" s="17" t="s">
        <v>336</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93007</v>
      </c>
      <c r="C6" s="20">
        <v>93007</v>
      </c>
      <c r="D6" s="20">
        <v>0</v>
      </c>
      <c r="E6" s="20">
        <v>10182</v>
      </c>
      <c r="F6" s="20">
        <v>103189</v>
      </c>
      <c r="G6" s="43">
        <v>93007</v>
      </c>
    </row>
    <row r="7" spans="1:7" x14ac:dyDescent="0.2">
      <c r="A7" s="42" t="s">
        <v>146</v>
      </c>
      <c r="B7" s="20">
        <v>44398</v>
      </c>
      <c r="C7" s="20">
        <v>44397</v>
      </c>
      <c r="D7" s="20">
        <v>0</v>
      </c>
      <c r="E7" s="20">
        <v>3363</v>
      </c>
      <c r="F7" s="20">
        <v>47760</v>
      </c>
      <c r="G7" s="43">
        <v>44397</v>
      </c>
    </row>
    <row r="8" spans="1:7" x14ac:dyDescent="0.2">
      <c r="A8" s="42" t="s">
        <v>147</v>
      </c>
      <c r="B8" s="20">
        <v>199407</v>
      </c>
      <c r="C8" s="20">
        <v>199407</v>
      </c>
      <c r="D8" s="20">
        <v>0</v>
      </c>
      <c r="E8" s="20">
        <v>14546</v>
      </c>
      <c r="F8" s="20">
        <v>213953</v>
      </c>
      <c r="G8" s="43">
        <v>199407</v>
      </c>
    </row>
    <row r="9" spans="1:7" x14ac:dyDescent="0.2">
      <c r="A9" s="42" t="s">
        <v>148</v>
      </c>
      <c r="B9" s="20">
        <v>56546</v>
      </c>
      <c r="C9" s="20">
        <v>56546</v>
      </c>
      <c r="D9" s="20">
        <v>0</v>
      </c>
      <c r="E9" s="20">
        <v>4715</v>
      </c>
      <c r="F9" s="20">
        <v>61261</v>
      </c>
      <c r="G9" s="43">
        <v>56546</v>
      </c>
    </row>
    <row r="10" spans="1:7" x14ac:dyDescent="0.2">
      <c r="A10" s="42" t="s">
        <v>149</v>
      </c>
      <c r="B10" s="20">
        <v>3634299</v>
      </c>
      <c r="C10" s="20">
        <v>3634316</v>
      </c>
      <c r="D10" s="20">
        <v>0</v>
      </c>
      <c r="E10" s="20">
        <v>203819</v>
      </c>
      <c r="F10" s="20">
        <v>3838135</v>
      </c>
      <c r="G10" s="43">
        <v>3634316</v>
      </c>
    </row>
    <row r="11" spans="1:7" x14ac:dyDescent="0.2">
      <c r="A11" s="42" t="s">
        <v>150</v>
      </c>
      <c r="B11" s="20">
        <v>135608</v>
      </c>
      <c r="C11" s="20">
        <v>135608</v>
      </c>
      <c r="D11" s="20">
        <v>0</v>
      </c>
      <c r="E11" s="20">
        <v>13503</v>
      </c>
      <c r="F11" s="20">
        <v>149111</v>
      </c>
      <c r="G11" s="43">
        <v>135608</v>
      </c>
    </row>
    <row r="12" spans="1:7" x14ac:dyDescent="0.2">
      <c r="A12" s="42" t="s">
        <v>151</v>
      </c>
      <c r="B12" s="20">
        <v>265908</v>
      </c>
      <c r="C12" s="20">
        <v>265908</v>
      </c>
      <c r="D12" s="20">
        <v>0</v>
      </c>
      <c r="E12" s="20">
        <v>7097</v>
      </c>
      <c r="F12" s="20">
        <v>273005</v>
      </c>
      <c r="G12" s="43">
        <v>265908</v>
      </c>
    </row>
    <row r="13" spans="1:7" x14ac:dyDescent="0.2">
      <c r="A13" s="42" t="s">
        <v>152</v>
      </c>
      <c r="B13" s="20">
        <v>32184</v>
      </c>
      <c r="C13" s="20">
        <v>32184</v>
      </c>
      <c r="D13" s="20">
        <v>0</v>
      </c>
      <c r="E13" s="20">
        <v>2076</v>
      </c>
      <c r="F13" s="20">
        <v>34260</v>
      </c>
      <c r="G13" s="43">
        <v>32184</v>
      </c>
    </row>
    <row r="14" spans="1:7" x14ac:dyDescent="0.2">
      <c r="A14" s="42" t="s">
        <v>153</v>
      </c>
      <c r="B14" s="20">
        <v>92304</v>
      </c>
      <c r="C14" s="20">
        <v>92304</v>
      </c>
      <c r="D14" s="20">
        <v>0</v>
      </c>
      <c r="E14" s="20">
        <v>14740</v>
      </c>
      <c r="F14" s="20">
        <v>107044</v>
      </c>
      <c r="G14" s="43">
        <v>92304</v>
      </c>
    </row>
    <row r="15" spans="1:7" x14ac:dyDescent="0.2">
      <c r="A15" s="42" t="s">
        <v>154</v>
      </c>
      <c r="B15" s="20">
        <v>560484</v>
      </c>
      <c r="C15" s="20">
        <v>560484</v>
      </c>
      <c r="D15" s="20">
        <v>0</v>
      </c>
      <c r="E15" s="20">
        <v>35508</v>
      </c>
      <c r="F15" s="20">
        <v>595992</v>
      </c>
      <c r="G15" s="43">
        <v>560484</v>
      </c>
    </row>
    <row r="16" spans="1:7" x14ac:dyDescent="0.2">
      <c r="A16" s="42" t="s">
        <v>155</v>
      </c>
      <c r="B16" s="20">
        <v>329650</v>
      </c>
      <c r="C16" s="20">
        <v>329650</v>
      </c>
      <c r="D16" s="20">
        <v>0</v>
      </c>
      <c r="E16" s="20">
        <v>22014</v>
      </c>
      <c r="F16" s="20">
        <v>351664</v>
      </c>
      <c r="G16" s="43">
        <v>329650</v>
      </c>
    </row>
    <row r="17" spans="1:7" x14ac:dyDescent="0.2">
      <c r="A17" s="42" t="s">
        <v>156</v>
      </c>
      <c r="B17" s="20">
        <v>98578</v>
      </c>
      <c r="C17" s="20">
        <v>98578</v>
      </c>
      <c r="D17" s="20">
        <v>0</v>
      </c>
      <c r="E17" s="20">
        <v>4217</v>
      </c>
      <c r="F17" s="20">
        <v>102795</v>
      </c>
      <c r="G17" s="43">
        <v>98578</v>
      </c>
    </row>
    <row r="18" spans="1:7" x14ac:dyDescent="0.2">
      <c r="A18" s="42" t="s">
        <v>157</v>
      </c>
      <c r="B18" s="20">
        <v>30307</v>
      </c>
      <c r="C18" s="20">
        <v>30307</v>
      </c>
      <c r="D18" s="20">
        <v>0</v>
      </c>
      <c r="E18" s="20">
        <v>3423</v>
      </c>
      <c r="F18" s="20">
        <v>33730</v>
      </c>
      <c r="G18" s="43">
        <v>30307</v>
      </c>
    </row>
    <row r="19" spans="1:7" x14ac:dyDescent="0.2">
      <c r="A19" s="42" t="s">
        <v>158</v>
      </c>
      <c r="B19" s="20">
        <v>583126</v>
      </c>
      <c r="C19" s="20">
        <v>583126</v>
      </c>
      <c r="D19" s="20">
        <v>0</v>
      </c>
      <c r="E19" s="20">
        <v>20440</v>
      </c>
      <c r="F19" s="20">
        <v>603566</v>
      </c>
      <c r="G19" s="43">
        <v>583126</v>
      </c>
    </row>
    <row r="20" spans="1:7" x14ac:dyDescent="0.2">
      <c r="A20" s="42" t="s">
        <v>159</v>
      </c>
      <c r="B20" s="20">
        <v>206117</v>
      </c>
      <c r="C20" s="20">
        <v>206117</v>
      </c>
      <c r="D20" s="20">
        <v>0</v>
      </c>
      <c r="E20" s="20">
        <v>10709</v>
      </c>
      <c r="F20" s="20">
        <v>216826</v>
      </c>
      <c r="G20" s="43">
        <v>206117</v>
      </c>
    </row>
    <row r="21" spans="1:7" x14ac:dyDescent="0.2">
      <c r="A21" s="42" t="s">
        <v>160</v>
      </c>
      <c r="B21" s="20">
        <v>130558</v>
      </c>
      <c r="C21" s="20">
        <v>130558</v>
      </c>
      <c r="D21" s="20">
        <v>0</v>
      </c>
      <c r="E21" s="20">
        <v>6334</v>
      </c>
      <c r="F21" s="20">
        <v>136892</v>
      </c>
      <c r="G21" s="43">
        <v>130558</v>
      </c>
    </row>
    <row r="22" spans="1:7" x14ac:dyDescent="0.2">
      <c r="A22" s="42" t="s">
        <v>161</v>
      </c>
      <c r="B22" s="20">
        <v>101478</v>
      </c>
      <c r="C22" s="20">
        <v>101478</v>
      </c>
      <c r="D22" s="20">
        <v>0</v>
      </c>
      <c r="E22" s="20">
        <v>5142</v>
      </c>
      <c r="F22" s="20">
        <v>106620</v>
      </c>
      <c r="G22" s="43">
        <v>101478</v>
      </c>
    </row>
    <row r="23" spans="1:7" x14ac:dyDescent="0.2">
      <c r="A23" s="42" t="s">
        <v>162</v>
      </c>
      <c r="B23" s="20">
        <v>180689</v>
      </c>
      <c r="C23" s="20">
        <v>180689</v>
      </c>
      <c r="D23" s="20">
        <v>0</v>
      </c>
      <c r="E23" s="20">
        <v>17411</v>
      </c>
      <c r="F23" s="20">
        <v>198100</v>
      </c>
      <c r="G23" s="43">
        <v>180689</v>
      </c>
    </row>
    <row r="24" spans="1:7" x14ac:dyDescent="0.2">
      <c r="A24" s="42" t="s">
        <v>163</v>
      </c>
      <c r="B24" s="20">
        <v>163431</v>
      </c>
      <c r="C24" s="20">
        <v>163431</v>
      </c>
      <c r="D24" s="20">
        <v>0</v>
      </c>
      <c r="E24" s="20">
        <v>7906</v>
      </c>
      <c r="F24" s="20">
        <v>171337</v>
      </c>
      <c r="G24" s="43">
        <v>163431</v>
      </c>
    </row>
    <row r="25" spans="1:7" x14ac:dyDescent="0.2">
      <c r="A25" s="42" t="s">
        <v>164</v>
      </c>
      <c r="B25" s="20">
        <v>76984</v>
      </c>
      <c r="C25" s="20">
        <v>77863</v>
      </c>
      <c r="D25" s="20">
        <v>0</v>
      </c>
      <c r="E25" s="20">
        <v>3851</v>
      </c>
      <c r="F25" s="20">
        <v>81714</v>
      </c>
      <c r="G25" s="43">
        <v>77863</v>
      </c>
    </row>
    <row r="26" spans="1:7" x14ac:dyDescent="0.2">
      <c r="A26" s="42" t="s">
        <v>165</v>
      </c>
      <c r="B26" s="20">
        <v>228342</v>
      </c>
      <c r="C26" s="20">
        <v>228342</v>
      </c>
      <c r="D26" s="20">
        <v>0</v>
      </c>
      <c r="E26" s="20">
        <v>17756</v>
      </c>
      <c r="F26" s="20">
        <v>246098</v>
      </c>
      <c r="G26" s="43">
        <v>228342</v>
      </c>
    </row>
    <row r="27" spans="1:7" x14ac:dyDescent="0.2">
      <c r="A27" s="42" t="s">
        <v>166</v>
      </c>
      <c r="B27" s="20">
        <v>457855</v>
      </c>
      <c r="C27" s="20">
        <v>457855</v>
      </c>
      <c r="D27" s="20">
        <v>0</v>
      </c>
      <c r="E27" s="20">
        <v>27853</v>
      </c>
      <c r="F27" s="20">
        <v>485708</v>
      </c>
      <c r="G27" s="43">
        <v>457855</v>
      </c>
    </row>
    <row r="28" spans="1:7" x14ac:dyDescent="0.2">
      <c r="A28" s="42" t="s">
        <v>167</v>
      </c>
      <c r="B28" s="20">
        <v>772794</v>
      </c>
      <c r="C28" s="20">
        <v>772794</v>
      </c>
      <c r="D28" s="20">
        <v>0</v>
      </c>
      <c r="E28" s="20">
        <v>19002</v>
      </c>
      <c r="F28" s="20">
        <v>791796</v>
      </c>
      <c r="G28" s="43">
        <v>772794</v>
      </c>
    </row>
    <row r="29" spans="1:7" x14ac:dyDescent="0.2">
      <c r="A29" s="42" t="s">
        <v>168</v>
      </c>
      <c r="B29" s="20">
        <v>259569</v>
      </c>
      <c r="C29" s="20">
        <v>259569</v>
      </c>
      <c r="D29" s="20">
        <v>0</v>
      </c>
      <c r="E29" s="20">
        <v>14352</v>
      </c>
      <c r="F29" s="20">
        <v>273921</v>
      </c>
      <c r="G29" s="43">
        <v>259569</v>
      </c>
    </row>
    <row r="30" spans="1:7" x14ac:dyDescent="0.2">
      <c r="A30" s="42" t="s">
        <v>169</v>
      </c>
      <c r="B30" s="20">
        <v>86481</v>
      </c>
      <c r="C30" s="20">
        <v>86481</v>
      </c>
      <c r="D30" s="20">
        <v>0</v>
      </c>
      <c r="E30" s="20">
        <v>4751</v>
      </c>
      <c r="F30" s="20">
        <v>91232</v>
      </c>
      <c r="G30" s="43">
        <v>86481</v>
      </c>
    </row>
    <row r="31" spans="1:7" x14ac:dyDescent="0.2">
      <c r="A31" s="42" t="s">
        <v>170</v>
      </c>
      <c r="B31" s="20">
        <v>216336</v>
      </c>
      <c r="C31" s="20">
        <v>216336</v>
      </c>
      <c r="D31" s="20">
        <v>0</v>
      </c>
      <c r="E31" s="20">
        <v>14531</v>
      </c>
      <c r="F31" s="20">
        <v>230867</v>
      </c>
      <c r="G31" s="43">
        <v>216336</v>
      </c>
    </row>
    <row r="32" spans="1:7" x14ac:dyDescent="0.2">
      <c r="A32" s="42" t="s">
        <v>171</v>
      </c>
      <c r="B32" s="20">
        <v>37889</v>
      </c>
      <c r="C32" s="20">
        <v>37889</v>
      </c>
      <c r="D32" s="20">
        <v>0</v>
      </c>
      <c r="E32" s="20">
        <v>2734</v>
      </c>
      <c r="F32" s="20">
        <v>40623</v>
      </c>
      <c r="G32" s="43">
        <v>37889</v>
      </c>
    </row>
    <row r="33" spans="1:7" x14ac:dyDescent="0.2">
      <c r="A33" s="42" t="s">
        <v>172</v>
      </c>
      <c r="B33" s="20">
        <v>56627</v>
      </c>
      <c r="C33" s="20">
        <v>56627</v>
      </c>
      <c r="D33" s="20">
        <v>0</v>
      </c>
      <c r="E33" s="20">
        <v>4439</v>
      </c>
      <c r="F33" s="20">
        <v>61066</v>
      </c>
      <c r="G33" s="43">
        <v>56627</v>
      </c>
    </row>
    <row r="34" spans="1:7" x14ac:dyDescent="0.2">
      <c r="A34" s="42" t="s">
        <v>173</v>
      </c>
      <c r="B34" s="20">
        <v>43762</v>
      </c>
      <c r="C34" s="20">
        <v>43762</v>
      </c>
      <c r="D34" s="20">
        <v>0</v>
      </c>
      <c r="E34" s="20">
        <v>6794</v>
      </c>
      <c r="F34" s="20">
        <v>50556</v>
      </c>
      <c r="G34" s="43">
        <v>43762</v>
      </c>
    </row>
    <row r="35" spans="1:7" x14ac:dyDescent="0.2">
      <c r="A35" s="42" t="s">
        <v>174</v>
      </c>
      <c r="B35" s="20">
        <v>38394</v>
      </c>
      <c r="C35" s="20">
        <v>38394</v>
      </c>
      <c r="D35" s="20">
        <v>0</v>
      </c>
      <c r="E35" s="20">
        <v>4145</v>
      </c>
      <c r="F35" s="20">
        <v>42539</v>
      </c>
      <c r="G35" s="43">
        <v>38394</v>
      </c>
    </row>
    <row r="36" spans="1:7" x14ac:dyDescent="0.2">
      <c r="A36" s="42" t="s">
        <v>175</v>
      </c>
      <c r="B36" s="20">
        <v>402702</v>
      </c>
      <c r="C36" s="20">
        <v>402702</v>
      </c>
      <c r="D36" s="20">
        <v>0</v>
      </c>
      <c r="E36" s="20">
        <v>17254</v>
      </c>
      <c r="F36" s="20">
        <v>419956</v>
      </c>
      <c r="G36" s="43">
        <v>402702</v>
      </c>
    </row>
    <row r="37" spans="1:7" x14ac:dyDescent="0.2">
      <c r="A37" s="42" t="s">
        <v>176</v>
      </c>
      <c r="B37" s="20">
        <v>109920</v>
      </c>
      <c r="C37" s="20">
        <v>109920</v>
      </c>
      <c r="D37" s="20">
        <v>0</v>
      </c>
      <c r="E37" s="20">
        <v>6385</v>
      </c>
      <c r="F37" s="20">
        <v>116305</v>
      </c>
      <c r="G37" s="43">
        <v>109920</v>
      </c>
    </row>
    <row r="38" spans="1:7" x14ac:dyDescent="0.2">
      <c r="A38" s="42" t="s">
        <v>177</v>
      </c>
      <c r="B38" s="20">
        <v>2434869</v>
      </c>
      <c r="C38" s="20">
        <v>2434869</v>
      </c>
      <c r="D38" s="20">
        <v>0</v>
      </c>
      <c r="E38" s="20">
        <v>128476</v>
      </c>
      <c r="F38" s="20">
        <v>2563345</v>
      </c>
      <c r="G38" s="43">
        <v>2434869</v>
      </c>
    </row>
    <row r="39" spans="1:7" x14ac:dyDescent="0.2">
      <c r="A39" s="42" t="s">
        <v>178</v>
      </c>
      <c r="B39" s="20">
        <v>300438</v>
      </c>
      <c r="C39" s="20">
        <v>300438</v>
      </c>
      <c r="D39" s="20">
        <v>0</v>
      </c>
      <c r="E39" s="20">
        <v>16783</v>
      </c>
      <c r="F39" s="20">
        <v>317221</v>
      </c>
      <c r="G39" s="43">
        <v>300438</v>
      </c>
    </row>
    <row r="40" spans="1:7" x14ac:dyDescent="0.2">
      <c r="A40" s="42" t="s">
        <v>179</v>
      </c>
      <c r="B40" s="20">
        <v>26313</v>
      </c>
      <c r="C40" s="20">
        <v>26313</v>
      </c>
      <c r="D40" s="20">
        <v>0</v>
      </c>
      <c r="E40" s="20">
        <v>1355</v>
      </c>
      <c r="F40" s="20">
        <v>27668</v>
      </c>
      <c r="G40" s="43">
        <v>26313</v>
      </c>
    </row>
    <row r="41" spans="1:7" x14ac:dyDescent="0.2">
      <c r="A41" s="42" t="s">
        <v>180</v>
      </c>
      <c r="B41" s="20">
        <v>725566</v>
      </c>
      <c r="C41" s="20">
        <v>725566</v>
      </c>
      <c r="D41" s="20">
        <v>0</v>
      </c>
      <c r="E41" s="20">
        <v>33946</v>
      </c>
      <c r="F41" s="20">
        <v>759512</v>
      </c>
      <c r="G41" s="43">
        <v>725566</v>
      </c>
    </row>
    <row r="42" spans="1:7" x14ac:dyDescent="0.2">
      <c r="A42" s="42" t="s">
        <v>181</v>
      </c>
      <c r="B42" s="20">
        <v>138008</v>
      </c>
      <c r="C42" s="20">
        <v>138008</v>
      </c>
      <c r="D42" s="20">
        <v>0</v>
      </c>
      <c r="E42" s="20">
        <v>7124</v>
      </c>
      <c r="F42" s="20">
        <v>145132</v>
      </c>
      <c r="G42" s="43">
        <v>138008</v>
      </c>
    </row>
    <row r="43" spans="1:7" x14ac:dyDescent="0.2">
      <c r="A43" s="42" t="s">
        <v>182</v>
      </c>
      <c r="B43" s="20">
        <v>165836</v>
      </c>
      <c r="C43" s="20">
        <v>165836</v>
      </c>
      <c r="D43" s="20">
        <v>0</v>
      </c>
      <c r="E43" s="20">
        <v>12226</v>
      </c>
      <c r="F43" s="20">
        <v>178062</v>
      </c>
      <c r="G43" s="43">
        <v>165836</v>
      </c>
    </row>
    <row r="44" spans="1:7" x14ac:dyDescent="0.2">
      <c r="A44" s="42" t="s">
        <v>183</v>
      </c>
      <c r="B44" s="20">
        <v>717125</v>
      </c>
      <c r="C44" s="20">
        <v>717125</v>
      </c>
      <c r="D44" s="20">
        <v>0</v>
      </c>
      <c r="E44" s="20">
        <v>26444</v>
      </c>
      <c r="F44" s="20">
        <v>743569</v>
      </c>
      <c r="G44" s="43">
        <v>717125</v>
      </c>
    </row>
    <row r="45" spans="1:7" x14ac:dyDescent="0.2">
      <c r="A45" s="42" t="s">
        <v>184</v>
      </c>
      <c r="B45" s="20">
        <v>94708</v>
      </c>
      <c r="C45" s="20">
        <v>94708</v>
      </c>
      <c r="D45" s="20">
        <v>0</v>
      </c>
      <c r="E45" s="20">
        <v>2703</v>
      </c>
      <c r="F45" s="20">
        <v>97411</v>
      </c>
      <c r="G45" s="43">
        <v>94708</v>
      </c>
    </row>
    <row r="46" spans="1:7" x14ac:dyDescent="0.2">
      <c r="A46" s="42" t="s">
        <v>185</v>
      </c>
      <c r="B46" s="20">
        <v>99638</v>
      </c>
      <c r="C46" s="20">
        <v>99638</v>
      </c>
      <c r="D46" s="20">
        <v>0</v>
      </c>
      <c r="E46" s="20">
        <v>10153</v>
      </c>
      <c r="F46" s="20">
        <v>109791</v>
      </c>
      <c r="G46" s="43">
        <v>99638</v>
      </c>
    </row>
    <row r="47" spans="1:7" x14ac:dyDescent="0.2">
      <c r="A47" s="42" t="s">
        <v>186</v>
      </c>
      <c r="B47" s="20">
        <v>21207</v>
      </c>
      <c r="C47" s="20">
        <v>21207</v>
      </c>
      <c r="D47" s="20">
        <v>0</v>
      </c>
      <c r="E47" s="20">
        <v>2286</v>
      </c>
      <c r="F47" s="20">
        <v>23493</v>
      </c>
      <c r="G47" s="43">
        <v>21207</v>
      </c>
    </row>
    <row r="48" spans="1:7" x14ac:dyDescent="0.2">
      <c r="A48" s="42" t="s">
        <v>187</v>
      </c>
      <c r="B48" s="20">
        <v>190892</v>
      </c>
      <c r="C48" s="20">
        <v>190892</v>
      </c>
      <c r="D48" s="20">
        <v>0</v>
      </c>
      <c r="E48" s="20">
        <v>12995</v>
      </c>
      <c r="F48" s="20">
        <v>203887</v>
      </c>
      <c r="G48" s="43">
        <v>190892</v>
      </c>
    </row>
    <row r="49" spans="1:7" x14ac:dyDescent="0.2">
      <c r="A49" s="42" t="s">
        <v>188</v>
      </c>
      <c r="B49" s="20">
        <v>484652</v>
      </c>
      <c r="C49" s="20">
        <v>484652</v>
      </c>
      <c r="D49" s="20">
        <v>0</v>
      </c>
      <c r="E49" s="20">
        <v>49519</v>
      </c>
      <c r="F49" s="20">
        <v>534171</v>
      </c>
      <c r="G49" s="43">
        <v>484652</v>
      </c>
    </row>
    <row r="50" spans="1:7" x14ac:dyDescent="0.2">
      <c r="A50" s="42" t="s">
        <v>189</v>
      </c>
      <c r="B50" s="20">
        <v>75356</v>
      </c>
      <c r="C50" s="20">
        <v>75356</v>
      </c>
      <c r="D50" s="20">
        <v>0</v>
      </c>
      <c r="E50" s="20">
        <v>7335</v>
      </c>
      <c r="F50" s="20">
        <v>82691</v>
      </c>
      <c r="G50" s="43">
        <v>75356</v>
      </c>
    </row>
    <row r="51" spans="1:7" x14ac:dyDescent="0.2">
      <c r="A51" s="42" t="s">
        <v>190</v>
      </c>
      <c r="B51" s="20">
        <v>47197</v>
      </c>
      <c r="C51" s="20">
        <v>47197</v>
      </c>
      <c r="D51" s="20">
        <v>0</v>
      </c>
      <c r="E51" s="20">
        <v>1617</v>
      </c>
      <c r="F51" s="20">
        <v>48814</v>
      </c>
      <c r="G51" s="43">
        <v>47197</v>
      </c>
    </row>
    <row r="52" spans="1:7" x14ac:dyDescent="0.2">
      <c r="A52" s="42" t="s">
        <v>191</v>
      </c>
      <c r="B52" s="20">
        <v>157763</v>
      </c>
      <c r="C52" s="20">
        <v>157763</v>
      </c>
      <c r="D52" s="20">
        <v>0</v>
      </c>
      <c r="E52" s="20">
        <v>15745</v>
      </c>
      <c r="F52" s="20">
        <v>173508</v>
      </c>
      <c r="G52" s="43">
        <v>157763</v>
      </c>
    </row>
    <row r="53" spans="1:7" x14ac:dyDescent="0.2">
      <c r="A53" s="42" t="s">
        <v>192</v>
      </c>
      <c r="B53" s="20">
        <v>378988</v>
      </c>
      <c r="C53" s="20">
        <v>378988</v>
      </c>
      <c r="D53" s="20">
        <v>0</v>
      </c>
      <c r="E53" s="20">
        <v>22766</v>
      </c>
      <c r="F53" s="20">
        <v>401754</v>
      </c>
      <c r="G53" s="43">
        <v>378988</v>
      </c>
    </row>
    <row r="54" spans="1:7" x14ac:dyDescent="0.2">
      <c r="A54" s="42" t="s">
        <v>193</v>
      </c>
      <c r="B54" s="20">
        <v>109813</v>
      </c>
      <c r="C54" s="20">
        <v>109813</v>
      </c>
      <c r="D54" s="20">
        <v>0</v>
      </c>
      <c r="E54" s="20">
        <v>4618</v>
      </c>
      <c r="F54" s="20">
        <v>114431</v>
      </c>
      <c r="G54" s="43">
        <v>109813</v>
      </c>
    </row>
    <row r="55" spans="1:7" x14ac:dyDescent="0.2">
      <c r="A55" s="42" t="s">
        <v>194</v>
      </c>
      <c r="B55" s="20">
        <v>312846</v>
      </c>
      <c r="C55" s="20">
        <v>312846</v>
      </c>
      <c r="D55" s="20">
        <v>0</v>
      </c>
      <c r="E55" s="20">
        <v>14523</v>
      </c>
      <c r="F55" s="20">
        <v>327369</v>
      </c>
      <c r="G55" s="43">
        <v>312846</v>
      </c>
    </row>
    <row r="56" spans="1:7" x14ac:dyDescent="0.2">
      <c r="A56" s="42" t="s">
        <v>195</v>
      </c>
      <c r="B56" s="20">
        <v>18429</v>
      </c>
      <c r="C56" s="20">
        <v>18429</v>
      </c>
      <c r="D56" s="20">
        <v>0</v>
      </c>
      <c r="E56" s="20">
        <v>1545</v>
      </c>
      <c r="F56" s="20">
        <v>19974</v>
      </c>
      <c r="G56" s="43">
        <v>18429</v>
      </c>
    </row>
    <row r="57" spans="1:7" x14ac:dyDescent="0.2">
      <c r="A57" s="42" t="s">
        <v>196</v>
      </c>
      <c r="B57" s="20">
        <v>0</v>
      </c>
      <c r="C57" s="20">
        <v>0</v>
      </c>
      <c r="D57" s="20">
        <v>0</v>
      </c>
      <c r="E57" s="20">
        <v>495</v>
      </c>
      <c r="F57" s="20">
        <v>495</v>
      </c>
      <c r="G57" s="43">
        <v>0</v>
      </c>
    </row>
    <row r="58" spans="1:7" x14ac:dyDescent="0.2">
      <c r="A58" s="42" t="s">
        <v>197</v>
      </c>
      <c r="B58" s="20">
        <v>3454</v>
      </c>
      <c r="C58" s="20">
        <v>3454</v>
      </c>
      <c r="D58" s="20">
        <v>0</v>
      </c>
      <c r="E58" s="20">
        <v>893</v>
      </c>
      <c r="F58" s="20">
        <v>4347</v>
      </c>
      <c r="G58" s="43">
        <v>3454</v>
      </c>
    </row>
    <row r="59" spans="1:7" x14ac:dyDescent="0.2">
      <c r="A59" s="42" t="s">
        <v>198</v>
      </c>
      <c r="B59" s="20">
        <v>0</v>
      </c>
      <c r="C59" s="20">
        <v>0</v>
      </c>
      <c r="D59" s="20">
        <v>0</v>
      </c>
      <c r="E59" s="20">
        <v>486</v>
      </c>
      <c r="F59" s="20">
        <v>486</v>
      </c>
      <c r="G59" s="43">
        <v>0</v>
      </c>
    </row>
    <row r="60" spans="1:7" x14ac:dyDescent="0.2">
      <c r="A60" s="42" t="s">
        <v>199</v>
      </c>
      <c r="B60" s="20">
        <v>71326</v>
      </c>
      <c r="C60" s="20">
        <v>71326</v>
      </c>
      <c r="D60" s="20">
        <v>0</v>
      </c>
      <c r="E60" s="20">
        <v>18450</v>
      </c>
      <c r="F60" s="20">
        <v>89776</v>
      </c>
      <c r="G60" s="43">
        <v>71326</v>
      </c>
    </row>
    <row r="61" spans="1:7" x14ac:dyDescent="0.2">
      <c r="A61" s="42" t="s">
        <v>200</v>
      </c>
      <c r="B61" s="20">
        <v>0</v>
      </c>
      <c r="C61" s="20">
        <v>0</v>
      </c>
      <c r="D61" s="20">
        <v>0</v>
      </c>
      <c r="E61" s="20">
        <v>0</v>
      </c>
      <c r="F61" s="20">
        <v>0</v>
      </c>
      <c r="G61" s="43">
        <v>0</v>
      </c>
    </row>
    <row r="62" spans="1:7" x14ac:dyDescent="0.2">
      <c r="A62" s="42" t="s">
        <v>201</v>
      </c>
      <c r="B62" s="20">
        <v>2837</v>
      </c>
      <c r="C62" s="20">
        <v>2837</v>
      </c>
      <c r="D62" s="20">
        <v>0</v>
      </c>
      <c r="E62" s="20">
        <v>734</v>
      </c>
      <c r="F62" s="20">
        <v>3571</v>
      </c>
      <c r="G62" s="43">
        <v>2837</v>
      </c>
    </row>
    <row r="63" spans="1:7" x14ac:dyDescent="0.2">
      <c r="A63" s="42" t="s">
        <v>202</v>
      </c>
      <c r="B63" s="20">
        <v>207998</v>
      </c>
      <c r="C63" s="20">
        <v>207982</v>
      </c>
      <c r="D63" s="20">
        <v>0</v>
      </c>
      <c r="E63" s="20">
        <v>53791</v>
      </c>
      <c r="F63" s="20">
        <v>261773</v>
      </c>
      <c r="G63" s="43">
        <v>207982</v>
      </c>
    </row>
    <row r="64" spans="1:7" x14ac:dyDescent="0.2">
      <c r="A64" s="42" t="s">
        <v>203</v>
      </c>
      <c r="B64" s="20">
        <v>0</v>
      </c>
      <c r="C64" s="20">
        <v>0</v>
      </c>
      <c r="D64" s="20">
        <v>0</v>
      </c>
      <c r="E64" s="20">
        <v>0</v>
      </c>
      <c r="F64" s="20">
        <v>0</v>
      </c>
      <c r="G64" s="43">
        <v>0</v>
      </c>
    </row>
    <row r="65" spans="1:7" ht="15" customHeight="1" x14ac:dyDescent="0.2">
      <c r="A65" s="44" t="s">
        <v>204</v>
      </c>
      <c r="B65" s="45">
        <v>16510993</v>
      </c>
      <c r="C65" s="45">
        <v>16511872</v>
      </c>
      <c r="D65" s="45">
        <v>0</v>
      </c>
      <c r="E65" s="45">
        <v>998000</v>
      </c>
      <c r="F65" s="45">
        <v>17509872</v>
      </c>
      <c r="G65" s="51">
        <v>16511872</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52"/>
  <sheetViews>
    <sheetView workbookViewId="0">
      <pane ySplit="3" topLeftCell="A4" activePane="bottomLeft" state="frozen"/>
      <selection pane="bottomLeft" activeCell="A4" sqref="A4"/>
    </sheetView>
  </sheetViews>
  <sheetFormatPr defaultRowHeight="12.75" x14ac:dyDescent="0.2"/>
  <cols>
    <col min="1" max="1" width="15.7109375" style="1" customWidth="1"/>
    <col min="2" max="2" width="41.7109375" style="2" customWidth="1"/>
    <col min="3" max="3" width="39.42578125" style="2" customWidth="1"/>
    <col min="4" max="4" width="15.42578125" style="3" customWidth="1"/>
  </cols>
  <sheetData>
    <row r="1" spans="1:4" ht="20.25" customHeight="1" x14ac:dyDescent="0.3">
      <c r="A1" s="4" t="s">
        <v>0</v>
      </c>
      <c r="B1" s="5"/>
      <c r="C1" s="5"/>
      <c r="D1" s="6"/>
    </row>
    <row r="2" spans="1:4" ht="18" customHeight="1" x14ac:dyDescent="0.25">
      <c r="A2" s="7" t="s">
        <v>1</v>
      </c>
      <c r="B2" s="5"/>
      <c r="C2" s="5"/>
      <c r="D2" s="6"/>
    </row>
    <row r="3" spans="1:4" x14ac:dyDescent="0.2">
      <c r="A3" s="8" t="s">
        <v>2</v>
      </c>
      <c r="B3" s="8" t="s">
        <v>3</v>
      </c>
      <c r="C3" s="8" t="s">
        <v>4</v>
      </c>
      <c r="D3" s="9" t="s">
        <v>5</v>
      </c>
    </row>
    <row r="5" spans="1:4" x14ac:dyDescent="0.2">
      <c r="A5" s="10" t="s">
        <v>6</v>
      </c>
      <c r="B5" s="2" t="s">
        <v>7</v>
      </c>
    </row>
    <row r="6" spans="1:4" x14ac:dyDescent="0.2">
      <c r="A6" s="10" t="s">
        <v>8</v>
      </c>
      <c r="B6" s="2" t="s">
        <v>9</v>
      </c>
    </row>
    <row r="7" spans="1:4" s="32" customFormat="1" x14ac:dyDescent="0.2">
      <c r="A7" s="10"/>
      <c r="B7" s="33"/>
      <c r="C7" s="33"/>
      <c r="D7" s="34"/>
    </row>
    <row r="8" spans="1:4" s="11" customFormat="1" ht="25.5" customHeight="1" x14ac:dyDescent="0.2">
      <c r="A8" s="10" t="s">
        <v>10</v>
      </c>
      <c r="B8" s="12" t="s">
        <v>657</v>
      </c>
      <c r="C8" s="13" t="s">
        <v>11</v>
      </c>
      <c r="D8" s="14">
        <v>10.553000000000001</v>
      </c>
    </row>
    <row r="9" spans="1:4" s="11" customFormat="1" ht="25.5" customHeight="1" x14ac:dyDescent="0.2">
      <c r="A9" s="10" t="s">
        <v>12</v>
      </c>
      <c r="B9" s="12" t="s">
        <v>657</v>
      </c>
      <c r="C9" s="13" t="s">
        <v>13</v>
      </c>
      <c r="D9" s="14">
        <v>10.555</v>
      </c>
    </row>
    <row r="10" spans="1:4" s="11" customFormat="1" ht="25.5" customHeight="1" x14ac:dyDescent="0.2">
      <c r="A10" s="10" t="s">
        <v>14</v>
      </c>
      <c r="B10" s="12" t="s">
        <v>657</v>
      </c>
      <c r="C10" s="13" t="s">
        <v>15</v>
      </c>
      <c r="D10" s="14">
        <v>10.557</v>
      </c>
    </row>
    <row r="11" spans="1:4" s="11" customFormat="1" ht="25.5" customHeight="1" x14ac:dyDescent="0.2">
      <c r="A11" s="10" t="s">
        <v>16</v>
      </c>
      <c r="B11" s="12" t="s">
        <v>657</v>
      </c>
      <c r="C11" s="13" t="s">
        <v>17</v>
      </c>
      <c r="D11" s="14">
        <v>10.558</v>
      </c>
    </row>
    <row r="12" spans="1:4" s="11" customFormat="1" ht="38.25" customHeight="1" x14ac:dyDescent="0.2">
      <c r="A12" s="10" t="s">
        <v>18</v>
      </c>
      <c r="B12" s="12" t="s">
        <v>657</v>
      </c>
      <c r="C12" s="13" t="s">
        <v>19</v>
      </c>
      <c r="D12" s="14">
        <v>10.561</v>
      </c>
    </row>
    <row r="13" spans="1:4" s="11" customFormat="1" ht="25.5" customHeight="1" x14ac:dyDescent="0.2">
      <c r="A13" s="10" t="s">
        <v>20</v>
      </c>
      <c r="B13" s="12" t="s">
        <v>21</v>
      </c>
      <c r="C13" s="13" t="s">
        <v>22</v>
      </c>
      <c r="D13" s="14" t="s">
        <v>297</v>
      </c>
    </row>
    <row r="14" spans="1:4" s="11" customFormat="1" ht="25.5" customHeight="1" x14ac:dyDescent="0.2">
      <c r="A14" s="10" t="s">
        <v>24</v>
      </c>
      <c r="B14" s="12" t="s">
        <v>21</v>
      </c>
      <c r="C14" s="13" t="s">
        <v>25</v>
      </c>
      <c r="D14" s="14" t="s">
        <v>298</v>
      </c>
    </row>
    <row r="15" spans="1:4" s="11" customFormat="1" ht="25.5" customHeight="1" x14ac:dyDescent="0.2">
      <c r="A15" s="10" t="s">
        <v>27</v>
      </c>
      <c r="B15" s="12" t="s">
        <v>28</v>
      </c>
      <c r="C15" s="13" t="s">
        <v>29</v>
      </c>
      <c r="D15" s="14">
        <v>84.01</v>
      </c>
    </row>
    <row r="16" spans="1:4" s="11" customFormat="1" ht="25.5" customHeight="1" x14ac:dyDescent="0.2">
      <c r="A16" s="10" t="s">
        <v>30</v>
      </c>
      <c r="B16" s="12" t="s">
        <v>28</v>
      </c>
      <c r="C16" s="13" t="s">
        <v>31</v>
      </c>
      <c r="D16" s="14">
        <v>84.367000000000004</v>
      </c>
    </row>
    <row r="17" spans="1:4" s="11" customFormat="1" ht="25.5" customHeight="1" x14ac:dyDescent="0.2">
      <c r="A17" s="10" t="s">
        <v>32</v>
      </c>
      <c r="B17" s="12" t="s">
        <v>28</v>
      </c>
      <c r="C17" s="13" t="s">
        <v>33</v>
      </c>
      <c r="D17" s="14" t="s">
        <v>299</v>
      </c>
    </row>
    <row r="18" spans="1:4" s="11" customFormat="1" ht="25.5" customHeight="1" x14ac:dyDescent="0.2">
      <c r="A18" s="10" t="s">
        <v>35</v>
      </c>
      <c r="B18" s="12" t="s">
        <v>28</v>
      </c>
      <c r="C18" s="13" t="s">
        <v>36</v>
      </c>
      <c r="D18" s="14">
        <v>84.424999999999997</v>
      </c>
    </row>
    <row r="19" spans="1:4" s="11" customFormat="1" ht="25.5" customHeight="1" x14ac:dyDescent="0.2">
      <c r="A19" s="10" t="s">
        <v>37</v>
      </c>
      <c r="B19" s="12" t="s">
        <v>28</v>
      </c>
      <c r="C19" s="13" t="s">
        <v>38</v>
      </c>
      <c r="D19" s="14">
        <v>84.424999999999997</v>
      </c>
    </row>
    <row r="20" spans="1:4" s="11" customFormat="1" ht="25.5" customHeight="1" x14ac:dyDescent="0.2">
      <c r="A20" s="10" t="s">
        <v>39</v>
      </c>
      <c r="B20" s="12" t="s">
        <v>40</v>
      </c>
      <c r="C20" s="13" t="s">
        <v>41</v>
      </c>
      <c r="D20" s="14" t="s">
        <v>42</v>
      </c>
    </row>
    <row r="21" spans="1:4" s="11" customFormat="1" ht="25.5" customHeight="1" x14ac:dyDescent="0.2">
      <c r="A21" s="10" t="s">
        <v>43</v>
      </c>
      <c r="B21" s="12" t="s">
        <v>40</v>
      </c>
      <c r="C21" s="13" t="s">
        <v>44</v>
      </c>
      <c r="D21" s="14">
        <v>93.778000000000006</v>
      </c>
    </row>
    <row r="22" spans="1:4" s="11" customFormat="1" ht="25.5" customHeight="1" x14ac:dyDescent="0.2">
      <c r="A22" s="10" t="s">
        <v>45</v>
      </c>
      <c r="B22" s="12" t="s">
        <v>46</v>
      </c>
      <c r="C22" s="13" t="s">
        <v>47</v>
      </c>
      <c r="D22" s="14">
        <v>93.558000000000007</v>
      </c>
    </row>
    <row r="23" spans="1:4" s="11" customFormat="1" ht="25.5" customHeight="1" x14ac:dyDescent="0.2">
      <c r="A23" s="10" t="s">
        <v>48</v>
      </c>
      <c r="B23" s="12" t="s">
        <v>46</v>
      </c>
      <c r="C23" s="13" t="s">
        <v>49</v>
      </c>
      <c r="D23" s="14">
        <v>93.563000000000002</v>
      </c>
    </row>
    <row r="24" spans="1:4" s="11" customFormat="1" ht="25.5" customHeight="1" x14ac:dyDescent="0.2">
      <c r="A24" s="10" t="s">
        <v>50</v>
      </c>
      <c r="B24" s="12" t="s">
        <v>46</v>
      </c>
      <c r="C24" s="13" t="s">
        <v>51</v>
      </c>
      <c r="D24" s="14">
        <v>93.567999999999998</v>
      </c>
    </row>
    <row r="25" spans="1:4" s="11" customFormat="1" ht="25.5" customHeight="1" x14ac:dyDescent="0.2">
      <c r="A25" s="10" t="s">
        <v>52</v>
      </c>
      <c r="B25" s="12" t="s">
        <v>46</v>
      </c>
      <c r="C25" s="13" t="s">
        <v>53</v>
      </c>
      <c r="D25" s="14">
        <v>93.575000000000003</v>
      </c>
    </row>
    <row r="26" spans="1:4" s="11" customFormat="1" ht="25.5" customHeight="1" x14ac:dyDescent="0.2">
      <c r="A26" s="10" t="s">
        <v>54</v>
      </c>
      <c r="B26" s="12" t="s">
        <v>46</v>
      </c>
      <c r="C26" s="13" t="s">
        <v>55</v>
      </c>
      <c r="D26" s="14" t="s">
        <v>56</v>
      </c>
    </row>
    <row r="27" spans="1:4" s="11" customFormat="1" ht="25.5" customHeight="1" x14ac:dyDescent="0.2">
      <c r="A27" s="10" t="s">
        <v>57</v>
      </c>
      <c r="B27" s="12" t="s">
        <v>46</v>
      </c>
      <c r="C27" s="13" t="s">
        <v>58</v>
      </c>
      <c r="D27" s="14" t="s">
        <v>59</v>
      </c>
    </row>
    <row r="28" spans="1:4" s="11" customFormat="1" ht="25.5" customHeight="1" x14ac:dyDescent="0.2">
      <c r="A28" s="10" t="s">
        <v>60</v>
      </c>
      <c r="B28" s="12" t="s">
        <v>46</v>
      </c>
      <c r="C28" s="13" t="s">
        <v>61</v>
      </c>
      <c r="D28" s="14" t="s">
        <v>62</v>
      </c>
    </row>
    <row r="29" spans="1:4" s="11" customFormat="1" ht="25.5" customHeight="1" x14ac:dyDescent="0.2">
      <c r="A29" s="10" t="s">
        <v>63</v>
      </c>
      <c r="B29" s="12" t="s">
        <v>46</v>
      </c>
      <c r="C29" s="13" t="s">
        <v>64</v>
      </c>
      <c r="D29" s="14">
        <v>93.658000000000001</v>
      </c>
    </row>
    <row r="30" spans="1:4" s="11" customFormat="1" ht="25.5" customHeight="1" x14ac:dyDescent="0.2">
      <c r="A30" s="10" t="s">
        <v>65</v>
      </c>
      <c r="B30" s="12" t="s">
        <v>46</v>
      </c>
      <c r="C30" s="13" t="s">
        <v>66</v>
      </c>
      <c r="D30" s="14">
        <v>93.659000000000006</v>
      </c>
    </row>
    <row r="31" spans="1:4" s="11" customFormat="1" ht="25.5" customHeight="1" x14ac:dyDescent="0.2">
      <c r="A31" s="10" t="s">
        <v>67</v>
      </c>
      <c r="B31" s="12" t="s">
        <v>46</v>
      </c>
      <c r="C31" s="13" t="s">
        <v>68</v>
      </c>
      <c r="D31" s="14">
        <v>93.667000000000002</v>
      </c>
    </row>
    <row r="32" spans="1:4" s="11" customFormat="1" ht="25.5" customHeight="1" x14ac:dyDescent="0.2">
      <c r="A32" s="10" t="s">
        <v>69</v>
      </c>
      <c r="B32" s="12" t="s">
        <v>70</v>
      </c>
      <c r="C32" s="13" t="s">
        <v>71</v>
      </c>
      <c r="D32" s="14" t="s">
        <v>72</v>
      </c>
    </row>
    <row r="33" spans="1:4" s="11" customFormat="1" ht="25.5" customHeight="1" x14ac:dyDescent="0.2">
      <c r="A33" s="10" t="s">
        <v>73</v>
      </c>
      <c r="B33" s="12" t="s">
        <v>74</v>
      </c>
      <c r="C33" s="13" t="s">
        <v>75</v>
      </c>
      <c r="D33" s="14" t="s">
        <v>76</v>
      </c>
    </row>
    <row r="34" spans="1:4" s="11" customFormat="1" ht="25.5" customHeight="1" x14ac:dyDescent="0.2">
      <c r="A34" s="10" t="s">
        <v>77</v>
      </c>
      <c r="B34" s="12" t="s">
        <v>74</v>
      </c>
      <c r="C34" s="13" t="s">
        <v>78</v>
      </c>
      <c r="D34" s="14" t="s">
        <v>79</v>
      </c>
    </row>
    <row r="35" spans="1:4" s="11" customFormat="1" ht="25.5" customHeight="1" x14ac:dyDescent="0.2">
      <c r="A35" s="10" t="s">
        <v>80</v>
      </c>
      <c r="B35" s="12" t="s">
        <v>81</v>
      </c>
      <c r="C35" s="13" t="s">
        <v>82</v>
      </c>
      <c r="D35" s="14" t="s">
        <v>83</v>
      </c>
    </row>
    <row r="36" spans="1:4" s="11" customFormat="1" ht="25.5" customHeight="1" x14ac:dyDescent="0.2">
      <c r="A36" s="10" t="s">
        <v>84</v>
      </c>
      <c r="B36" s="12" t="s">
        <v>85</v>
      </c>
      <c r="C36" s="13" t="s">
        <v>86</v>
      </c>
      <c r="D36" s="14" t="s">
        <v>87</v>
      </c>
    </row>
    <row r="37" spans="1:4" s="11" customFormat="1" ht="25.5" customHeight="1" x14ac:dyDescent="0.2">
      <c r="A37" s="10" t="s">
        <v>88</v>
      </c>
      <c r="B37" s="12" t="s">
        <v>85</v>
      </c>
      <c r="C37" s="13" t="s">
        <v>89</v>
      </c>
      <c r="D37" s="14" t="s">
        <v>90</v>
      </c>
    </row>
    <row r="38" spans="1:4" s="11" customFormat="1" ht="25.5" customHeight="1" x14ac:dyDescent="0.2">
      <c r="A38" s="10" t="s">
        <v>91</v>
      </c>
      <c r="B38" s="12" t="s">
        <v>85</v>
      </c>
      <c r="C38" s="13" t="s">
        <v>92</v>
      </c>
      <c r="D38" s="14">
        <v>14.239000000000001</v>
      </c>
    </row>
    <row r="39" spans="1:4" s="11" customFormat="1" ht="25.5" customHeight="1" x14ac:dyDescent="0.2">
      <c r="A39" s="10" t="s">
        <v>93</v>
      </c>
      <c r="B39" s="12" t="s">
        <v>85</v>
      </c>
      <c r="C39" s="13" t="s">
        <v>94</v>
      </c>
      <c r="D39" s="14" t="s">
        <v>87</v>
      </c>
    </row>
    <row r="40" spans="1:4" s="11" customFormat="1" ht="25.5" customHeight="1" x14ac:dyDescent="0.2">
      <c r="A40" s="10" t="s">
        <v>95</v>
      </c>
      <c r="B40" s="12" t="s">
        <v>96</v>
      </c>
      <c r="C40" s="13" t="s">
        <v>97</v>
      </c>
      <c r="D40" s="14">
        <v>14.871</v>
      </c>
    </row>
    <row r="41" spans="1:4" s="11" customFormat="1" ht="25.5" customHeight="1" x14ac:dyDescent="0.2">
      <c r="A41" s="10" t="s">
        <v>98</v>
      </c>
      <c r="B41" s="12" t="s">
        <v>96</v>
      </c>
      <c r="C41" s="13" t="s">
        <v>99</v>
      </c>
      <c r="D41" s="14" t="s">
        <v>100</v>
      </c>
    </row>
    <row r="42" spans="1:4" s="11" customFormat="1" ht="25.5" customHeight="1" x14ac:dyDescent="0.2">
      <c r="A42" s="10" t="s">
        <v>101</v>
      </c>
      <c r="B42" s="12" t="s">
        <v>96</v>
      </c>
      <c r="C42" s="13" t="s">
        <v>102</v>
      </c>
      <c r="D42" s="14">
        <v>14.872</v>
      </c>
    </row>
    <row r="43" spans="1:4" s="11" customFormat="1" ht="25.5" customHeight="1" x14ac:dyDescent="0.2">
      <c r="A43" s="10" t="s">
        <v>103</v>
      </c>
      <c r="B43" s="12" t="s">
        <v>96</v>
      </c>
      <c r="C43" s="13" t="s">
        <v>104</v>
      </c>
      <c r="D43" s="14" t="s">
        <v>309</v>
      </c>
    </row>
    <row r="44" spans="1:4" s="11" customFormat="1" ht="25.5" customHeight="1" x14ac:dyDescent="0.2">
      <c r="A44" s="10" t="s">
        <v>105</v>
      </c>
      <c r="B44" s="12" t="s">
        <v>106</v>
      </c>
      <c r="C44" s="13" t="s">
        <v>107</v>
      </c>
      <c r="D44" s="14" t="s">
        <v>108</v>
      </c>
    </row>
    <row r="45" spans="1:4" s="11" customFormat="1" ht="25.5" customHeight="1" x14ac:dyDescent="0.2">
      <c r="A45" s="10" t="s">
        <v>109</v>
      </c>
      <c r="B45" s="12" t="s">
        <v>110</v>
      </c>
      <c r="C45" s="13" t="s">
        <v>111</v>
      </c>
      <c r="D45" s="14" t="s">
        <v>112</v>
      </c>
    </row>
    <row r="46" spans="1:4" s="11" customFormat="1" ht="25.5" customHeight="1" x14ac:dyDescent="0.2">
      <c r="A46" s="10" t="s">
        <v>113</v>
      </c>
      <c r="B46" s="12" t="s">
        <v>114</v>
      </c>
      <c r="C46" s="13" t="s">
        <v>115</v>
      </c>
      <c r="D46" s="14">
        <v>20.204999999999998</v>
      </c>
    </row>
    <row r="47" spans="1:4" s="11" customFormat="1" ht="25.5" customHeight="1" x14ac:dyDescent="0.2">
      <c r="A47" s="10" t="s">
        <v>116</v>
      </c>
      <c r="B47" s="12" t="s">
        <v>117</v>
      </c>
      <c r="C47" s="13" t="s">
        <v>118</v>
      </c>
      <c r="D47" s="14" t="s">
        <v>119</v>
      </c>
    </row>
    <row r="48" spans="1:4" s="11" customFormat="1" ht="25.5" customHeight="1" x14ac:dyDescent="0.2">
      <c r="A48" s="10" t="s">
        <v>120</v>
      </c>
      <c r="B48" s="12" t="s">
        <v>117</v>
      </c>
      <c r="C48" s="13" t="s">
        <v>121</v>
      </c>
      <c r="D48" s="14" t="s">
        <v>122</v>
      </c>
    </row>
    <row r="49" spans="1:4" s="11" customFormat="1" ht="25.5" customHeight="1" x14ac:dyDescent="0.2">
      <c r="A49" s="10" t="s">
        <v>123</v>
      </c>
      <c r="B49" s="12" t="s">
        <v>656</v>
      </c>
      <c r="C49" s="13" t="s">
        <v>124</v>
      </c>
      <c r="D49" s="14" t="s">
        <v>125</v>
      </c>
    </row>
    <row r="50" spans="1:4" s="11" customFormat="1" ht="25.5" customHeight="1" x14ac:dyDescent="0.2">
      <c r="A50" s="10" t="s">
        <v>126</v>
      </c>
      <c r="B50" s="12" t="s">
        <v>656</v>
      </c>
      <c r="C50" s="13" t="s">
        <v>127</v>
      </c>
      <c r="D50" s="14" t="s">
        <v>128</v>
      </c>
    </row>
    <row r="51" spans="1:4" s="11" customFormat="1" x14ac:dyDescent="0.2">
      <c r="A51" s="10" t="s">
        <v>129</v>
      </c>
      <c r="B51" s="12" t="s">
        <v>130</v>
      </c>
      <c r="C51" s="13" t="s">
        <v>131</v>
      </c>
      <c r="D51" s="14">
        <v>32.003999999999998</v>
      </c>
    </row>
    <row r="52" spans="1:4" s="11" customFormat="1" ht="25.5" customHeight="1" x14ac:dyDescent="0.2">
      <c r="A52" s="10" t="s">
        <v>132</v>
      </c>
      <c r="B52" s="12" t="s">
        <v>130</v>
      </c>
      <c r="C52" s="13" t="s">
        <v>133</v>
      </c>
      <c r="D52" s="14" t="s">
        <v>119</v>
      </c>
    </row>
  </sheetData>
  <pageMargins left="0.7" right="0.7" top="0.75" bottom="0.75" header="0.3" footer="0.3"/>
  <pageSetup orientation="portrait" horizontalDpi="1200" verticalDpi="1200"/>
  <ignoredErrors>
    <ignoredError sqref="D17 D20 D28 D32:D34 D41:D42 D49:D50 D46:D47 D44 D43 D45 D48 D13:D14" numberStoredAsText="1"/>
    <ignoredError sqref="A34:A52" twoDigitTextYear="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220</v>
      </c>
    </row>
    <row r="2" spans="1:7" x14ac:dyDescent="0.2">
      <c r="A2" s="17" t="s">
        <v>337</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60165</v>
      </c>
      <c r="C6" s="20">
        <v>54643</v>
      </c>
      <c r="D6" s="20">
        <v>0</v>
      </c>
      <c r="E6" s="20">
        <v>0</v>
      </c>
      <c r="F6" s="20">
        <v>54643</v>
      </c>
      <c r="G6" s="43">
        <v>52725</v>
      </c>
    </row>
    <row r="7" spans="1:7" x14ac:dyDescent="0.2">
      <c r="A7" s="42" t="s">
        <v>146</v>
      </c>
      <c r="B7" s="20">
        <v>18184</v>
      </c>
      <c r="C7" s="20">
        <v>16515</v>
      </c>
      <c r="D7" s="20">
        <v>0</v>
      </c>
      <c r="E7" s="20">
        <v>0</v>
      </c>
      <c r="F7" s="20">
        <v>16515</v>
      </c>
      <c r="G7" s="43">
        <v>15936</v>
      </c>
    </row>
    <row r="8" spans="1:7" x14ac:dyDescent="0.2">
      <c r="A8" s="42" t="s">
        <v>147</v>
      </c>
      <c r="B8" s="20">
        <v>57465</v>
      </c>
      <c r="C8" s="20">
        <v>52191</v>
      </c>
      <c r="D8" s="20">
        <v>0</v>
      </c>
      <c r="E8" s="20">
        <v>0</v>
      </c>
      <c r="F8" s="20">
        <v>52191</v>
      </c>
      <c r="G8" s="43">
        <v>50359</v>
      </c>
    </row>
    <row r="9" spans="1:7" x14ac:dyDescent="0.2">
      <c r="A9" s="42" t="s">
        <v>148</v>
      </c>
      <c r="B9" s="20">
        <v>35749</v>
      </c>
      <c r="C9" s="20">
        <v>32468</v>
      </c>
      <c r="D9" s="20">
        <v>0</v>
      </c>
      <c r="E9" s="20">
        <v>0</v>
      </c>
      <c r="F9" s="20">
        <v>32468</v>
      </c>
      <c r="G9" s="43">
        <v>31328</v>
      </c>
    </row>
    <row r="10" spans="1:7" x14ac:dyDescent="0.2">
      <c r="A10" s="42" t="s">
        <v>149</v>
      </c>
      <c r="B10" s="20">
        <v>828827</v>
      </c>
      <c r="C10" s="20">
        <v>752760</v>
      </c>
      <c r="D10" s="20">
        <v>0</v>
      </c>
      <c r="E10" s="20">
        <v>0</v>
      </c>
      <c r="F10" s="20">
        <v>752760</v>
      </c>
      <c r="G10" s="43">
        <v>726335</v>
      </c>
    </row>
    <row r="11" spans="1:7" x14ac:dyDescent="0.2">
      <c r="A11" s="42" t="s">
        <v>150</v>
      </c>
      <c r="B11" s="20">
        <v>61942</v>
      </c>
      <c r="C11" s="20">
        <v>56257</v>
      </c>
      <c r="D11" s="20">
        <v>0</v>
      </c>
      <c r="E11" s="20">
        <v>0</v>
      </c>
      <c r="F11" s="20">
        <v>56257</v>
      </c>
      <c r="G11" s="43">
        <v>54283</v>
      </c>
    </row>
    <row r="12" spans="1:7" x14ac:dyDescent="0.2">
      <c r="A12" s="42" t="s">
        <v>151</v>
      </c>
      <c r="B12" s="20">
        <v>71986</v>
      </c>
      <c r="C12" s="20">
        <v>65380</v>
      </c>
      <c r="D12" s="20">
        <v>0</v>
      </c>
      <c r="E12" s="20">
        <v>0</v>
      </c>
      <c r="F12" s="20">
        <v>65380</v>
      </c>
      <c r="G12" s="43">
        <v>63085</v>
      </c>
    </row>
    <row r="13" spans="1:7" x14ac:dyDescent="0.2">
      <c r="A13" s="42" t="s">
        <v>152</v>
      </c>
      <c r="B13" s="20">
        <v>24992</v>
      </c>
      <c r="C13" s="20">
        <v>22698</v>
      </c>
      <c r="D13" s="20">
        <v>0</v>
      </c>
      <c r="E13" s="20">
        <v>0</v>
      </c>
      <c r="F13" s="20">
        <v>22698</v>
      </c>
      <c r="G13" s="43">
        <v>21901</v>
      </c>
    </row>
    <row r="14" spans="1:7" x14ac:dyDescent="0.2">
      <c r="A14" s="42" t="s">
        <v>153</v>
      </c>
      <c r="B14" s="20">
        <v>27753</v>
      </c>
      <c r="C14" s="20">
        <v>25205</v>
      </c>
      <c r="D14" s="20">
        <v>0</v>
      </c>
      <c r="E14" s="20">
        <v>0</v>
      </c>
      <c r="F14" s="20">
        <v>25205</v>
      </c>
      <c r="G14" s="43">
        <v>24321</v>
      </c>
    </row>
    <row r="15" spans="1:7" x14ac:dyDescent="0.2">
      <c r="A15" s="42" t="s">
        <v>154</v>
      </c>
      <c r="B15" s="20">
        <v>202081</v>
      </c>
      <c r="C15" s="20">
        <v>183534</v>
      </c>
      <c r="D15" s="20">
        <v>0</v>
      </c>
      <c r="E15" s="20">
        <v>0</v>
      </c>
      <c r="F15" s="20">
        <v>183534</v>
      </c>
      <c r="G15" s="43">
        <v>177092</v>
      </c>
    </row>
    <row r="16" spans="1:7" x14ac:dyDescent="0.2">
      <c r="A16" s="42" t="s">
        <v>155</v>
      </c>
      <c r="B16" s="20">
        <v>99942</v>
      </c>
      <c r="C16" s="20">
        <v>90770</v>
      </c>
      <c r="D16" s="20">
        <v>0</v>
      </c>
      <c r="E16" s="20">
        <v>0</v>
      </c>
      <c r="F16" s="20">
        <v>90770</v>
      </c>
      <c r="G16" s="43">
        <v>87584</v>
      </c>
    </row>
    <row r="17" spans="1:7" x14ac:dyDescent="0.2">
      <c r="A17" s="42" t="s">
        <v>156</v>
      </c>
      <c r="B17" s="20">
        <v>20373</v>
      </c>
      <c r="C17" s="20">
        <v>18504</v>
      </c>
      <c r="D17" s="20">
        <v>0</v>
      </c>
      <c r="E17" s="20">
        <v>0</v>
      </c>
      <c r="F17" s="20">
        <v>18504</v>
      </c>
      <c r="G17" s="43">
        <v>17854</v>
      </c>
    </row>
    <row r="18" spans="1:7" x14ac:dyDescent="0.2">
      <c r="A18" s="42" t="s">
        <v>157</v>
      </c>
      <c r="B18" s="20">
        <v>19494</v>
      </c>
      <c r="C18" s="20">
        <v>17705</v>
      </c>
      <c r="D18" s="20">
        <v>0</v>
      </c>
      <c r="E18" s="20">
        <v>0</v>
      </c>
      <c r="F18" s="20">
        <v>17705</v>
      </c>
      <c r="G18" s="43">
        <v>17083</v>
      </c>
    </row>
    <row r="19" spans="1:7" x14ac:dyDescent="0.2">
      <c r="A19" s="42" t="s">
        <v>158</v>
      </c>
      <c r="B19" s="20">
        <v>127335</v>
      </c>
      <c r="C19" s="20">
        <v>115648</v>
      </c>
      <c r="D19" s="20">
        <v>0</v>
      </c>
      <c r="E19" s="20">
        <v>0</v>
      </c>
      <c r="F19" s="20">
        <v>115648</v>
      </c>
      <c r="G19" s="43">
        <v>111589</v>
      </c>
    </row>
    <row r="20" spans="1:7" x14ac:dyDescent="0.2">
      <c r="A20" s="42" t="s">
        <v>159</v>
      </c>
      <c r="B20" s="20">
        <v>90678</v>
      </c>
      <c r="C20" s="20">
        <v>82356</v>
      </c>
      <c r="D20" s="20">
        <v>0</v>
      </c>
      <c r="E20" s="20">
        <v>0</v>
      </c>
      <c r="F20" s="20">
        <v>82356</v>
      </c>
      <c r="G20" s="43">
        <v>79465</v>
      </c>
    </row>
    <row r="21" spans="1:7" x14ac:dyDescent="0.2">
      <c r="A21" s="42" t="s">
        <v>160</v>
      </c>
      <c r="B21" s="20">
        <v>51358</v>
      </c>
      <c r="C21" s="20">
        <v>46645</v>
      </c>
      <c r="D21" s="20">
        <v>0</v>
      </c>
      <c r="E21" s="20">
        <v>0</v>
      </c>
      <c r="F21" s="20">
        <v>46645</v>
      </c>
      <c r="G21" s="43">
        <v>45007</v>
      </c>
    </row>
    <row r="22" spans="1:7" x14ac:dyDescent="0.2">
      <c r="A22" s="42" t="s">
        <v>161</v>
      </c>
      <c r="B22" s="20">
        <v>38109</v>
      </c>
      <c r="C22" s="20">
        <v>34611</v>
      </c>
      <c r="D22" s="20">
        <v>0</v>
      </c>
      <c r="E22" s="20">
        <v>0</v>
      </c>
      <c r="F22" s="20">
        <v>34611</v>
      </c>
      <c r="G22" s="43">
        <v>33396</v>
      </c>
    </row>
    <row r="23" spans="1:7" x14ac:dyDescent="0.2">
      <c r="A23" s="42" t="s">
        <v>162</v>
      </c>
      <c r="B23" s="20">
        <v>68211</v>
      </c>
      <c r="C23" s="20">
        <v>61951</v>
      </c>
      <c r="D23" s="20">
        <v>0</v>
      </c>
      <c r="E23" s="20">
        <v>0</v>
      </c>
      <c r="F23" s="20">
        <v>61951</v>
      </c>
      <c r="G23" s="43">
        <v>59777</v>
      </c>
    </row>
    <row r="24" spans="1:7" x14ac:dyDescent="0.2">
      <c r="A24" s="42" t="s">
        <v>163</v>
      </c>
      <c r="B24" s="20">
        <v>76347</v>
      </c>
      <c r="C24" s="20">
        <v>69340</v>
      </c>
      <c r="D24" s="20">
        <v>0</v>
      </c>
      <c r="E24" s="20">
        <v>0</v>
      </c>
      <c r="F24" s="20">
        <v>69340</v>
      </c>
      <c r="G24" s="43">
        <v>66906</v>
      </c>
    </row>
    <row r="25" spans="1:7" x14ac:dyDescent="0.2">
      <c r="A25" s="42" t="s">
        <v>164</v>
      </c>
      <c r="B25" s="20">
        <v>29797</v>
      </c>
      <c r="C25" s="20">
        <v>27063</v>
      </c>
      <c r="D25" s="20">
        <v>0</v>
      </c>
      <c r="E25" s="20">
        <v>0</v>
      </c>
      <c r="F25" s="20">
        <v>27063</v>
      </c>
      <c r="G25" s="43">
        <v>26113</v>
      </c>
    </row>
    <row r="26" spans="1:7" x14ac:dyDescent="0.2">
      <c r="A26" s="42" t="s">
        <v>165</v>
      </c>
      <c r="B26" s="20">
        <v>128582</v>
      </c>
      <c r="C26" s="20">
        <v>116781</v>
      </c>
      <c r="D26" s="20">
        <v>0</v>
      </c>
      <c r="E26" s="20">
        <v>0</v>
      </c>
      <c r="F26" s="20">
        <v>116781</v>
      </c>
      <c r="G26" s="43">
        <v>112681</v>
      </c>
    </row>
    <row r="27" spans="1:7" x14ac:dyDescent="0.2">
      <c r="A27" s="42" t="s">
        <v>166</v>
      </c>
      <c r="B27" s="20">
        <v>93749</v>
      </c>
      <c r="C27" s="20">
        <v>85145</v>
      </c>
      <c r="D27" s="20">
        <v>0</v>
      </c>
      <c r="E27" s="20">
        <v>0</v>
      </c>
      <c r="F27" s="20">
        <v>85145</v>
      </c>
      <c r="G27" s="43">
        <v>82156</v>
      </c>
    </row>
    <row r="28" spans="1:7" x14ac:dyDescent="0.2">
      <c r="A28" s="42" t="s">
        <v>167</v>
      </c>
      <c r="B28" s="20">
        <v>182000</v>
      </c>
      <c r="C28" s="20">
        <v>165297</v>
      </c>
      <c r="D28" s="20">
        <v>0</v>
      </c>
      <c r="E28" s="20">
        <v>0</v>
      </c>
      <c r="F28" s="20">
        <v>165297</v>
      </c>
      <c r="G28" s="43">
        <v>159494</v>
      </c>
    </row>
    <row r="29" spans="1:7" x14ac:dyDescent="0.2">
      <c r="A29" s="42" t="s">
        <v>168</v>
      </c>
      <c r="B29" s="20">
        <v>136416</v>
      </c>
      <c r="C29" s="20">
        <v>123897</v>
      </c>
      <c r="D29" s="20">
        <v>0</v>
      </c>
      <c r="E29" s="20">
        <v>0</v>
      </c>
      <c r="F29" s="20">
        <v>123897</v>
      </c>
      <c r="G29" s="43">
        <v>119547</v>
      </c>
    </row>
    <row r="30" spans="1:7" x14ac:dyDescent="0.2">
      <c r="A30" s="42" t="s">
        <v>169</v>
      </c>
      <c r="B30" s="20">
        <v>38232</v>
      </c>
      <c r="C30" s="20">
        <v>34724</v>
      </c>
      <c r="D30" s="20">
        <v>0</v>
      </c>
      <c r="E30" s="20">
        <v>0</v>
      </c>
      <c r="F30" s="20">
        <v>34724</v>
      </c>
      <c r="G30" s="43">
        <v>33505</v>
      </c>
    </row>
    <row r="31" spans="1:7" x14ac:dyDescent="0.2">
      <c r="A31" s="42" t="s">
        <v>170</v>
      </c>
      <c r="B31" s="20">
        <v>62831</v>
      </c>
      <c r="C31" s="20">
        <v>57064</v>
      </c>
      <c r="D31" s="20">
        <v>0</v>
      </c>
      <c r="E31" s="20">
        <v>0</v>
      </c>
      <c r="F31" s="20">
        <v>57064</v>
      </c>
      <c r="G31" s="43">
        <v>55061</v>
      </c>
    </row>
    <row r="32" spans="1:7" x14ac:dyDescent="0.2">
      <c r="A32" s="42" t="s">
        <v>171</v>
      </c>
      <c r="B32" s="20">
        <v>13997</v>
      </c>
      <c r="C32" s="20">
        <v>12713</v>
      </c>
      <c r="D32" s="20">
        <v>0</v>
      </c>
      <c r="E32" s="20">
        <v>0</v>
      </c>
      <c r="F32" s="20">
        <v>12713</v>
      </c>
      <c r="G32" s="43">
        <v>12266</v>
      </c>
    </row>
    <row r="33" spans="1:7" x14ac:dyDescent="0.2">
      <c r="A33" s="42" t="s">
        <v>172</v>
      </c>
      <c r="B33" s="20">
        <v>30595</v>
      </c>
      <c r="C33" s="20">
        <v>27787</v>
      </c>
      <c r="D33" s="20">
        <v>0</v>
      </c>
      <c r="E33" s="20">
        <v>0</v>
      </c>
      <c r="F33" s="20">
        <v>27787</v>
      </c>
      <c r="G33" s="43">
        <v>26812</v>
      </c>
    </row>
    <row r="34" spans="1:7" x14ac:dyDescent="0.2">
      <c r="A34" s="42" t="s">
        <v>173</v>
      </c>
      <c r="B34" s="20">
        <v>61719</v>
      </c>
      <c r="C34" s="20">
        <v>56054</v>
      </c>
      <c r="D34" s="20">
        <v>0</v>
      </c>
      <c r="E34" s="20">
        <v>0</v>
      </c>
      <c r="F34" s="20">
        <v>56054</v>
      </c>
      <c r="G34" s="43">
        <v>54087</v>
      </c>
    </row>
    <row r="35" spans="1:7" x14ac:dyDescent="0.2">
      <c r="A35" s="42" t="s">
        <v>174</v>
      </c>
      <c r="B35" s="20">
        <v>19579</v>
      </c>
      <c r="C35" s="20">
        <v>17782</v>
      </c>
      <c r="D35" s="20">
        <v>0</v>
      </c>
      <c r="E35" s="20">
        <v>0</v>
      </c>
      <c r="F35" s="20">
        <v>17782</v>
      </c>
      <c r="G35" s="43">
        <v>17158</v>
      </c>
    </row>
    <row r="36" spans="1:7" x14ac:dyDescent="0.2">
      <c r="A36" s="42" t="s">
        <v>175</v>
      </c>
      <c r="B36" s="20">
        <v>201873</v>
      </c>
      <c r="C36" s="20">
        <v>183345</v>
      </c>
      <c r="D36" s="20">
        <v>0</v>
      </c>
      <c r="E36" s="20">
        <v>0</v>
      </c>
      <c r="F36" s="20">
        <v>183345</v>
      </c>
      <c r="G36" s="43">
        <v>176909</v>
      </c>
    </row>
    <row r="37" spans="1:7" x14ac:dyDescent="0.2">
      <c r="A37" s="42" t="s">
        <v>176</v>
      </c>
      <c r="B37" s="20">
        <v>35273</v>
      </c>
      <c r="C37" s="20">
        <v>32036</v>
      </c>
      <c r="D37" s="20">
        <v>0</v>
      </c>
      <c r="E37" s="20">
        <v>0</v>
      </c>
      <c r="F37" s="20">
        <v>32036</v>
      </c>
      <c r="G37" s="43">
        <v>30911</v>
      </c>
    </row>
    <row r="38" spans="1:7" x14ac:dyDescent="0.2">
      <c r="A38" s="42" t="s">
        <v>177</v>
      </c>
      <c r="B38" s="20">
        <v>314067</v>
      </c>
      <c r="C38" s="20">
        <v>285243</v>
      </c>
      <c r="D38" s="20">
        <v>0</v>
      </c>
      <c r="E38" s="20">
        <v>0</v>
      </c>
      <c r="F38" s="20">
        <v>285243</v>
      </c>
      <c r="G38" s="43">
        <v>275230</v>
      </c>
    </row>
    <row r="39" spans="1:7" x14ac:dyDescent="0.2">
      <c r="A39" s="42" t="s">
        <v>178</v>
      </c>
      <c r="B39" s="20">
        <v>115000</v>
      </c>
      <c r="C39" s="20">
        <v>104446</v>
      </c>
      <c r="D39" s="20">
        <v>0</v>
      </c>
      <c r="E39" s="20">
        <v>0</v>
      </c>
      <c r="F39" s="20">
        <v>104446</v>
      </c>
      <c r="G39" s="43">
        <v>100780</v>
      </c>
    </row>
    <row r="40" spans="1:7" x14ac:dyDescent="0.2">
      <c r="A40" s="42" t="s">
        <v>179</v>
      </c>
      <c r="B40" s="20">
        <v>13503</v>
      </c>
      <c r="C40" s="20">
        <v>12264</v>
      </c>
      <c r="D40" s="20">
        <v>0</v>
      </c>
      <c r="E40" s="20">
        <v>0</v>
      </c>
      <c r="F40" s="20">
        <v>12264</v>
      </c>
      <c r="G40" s="43">
        <v>11833</v>
      </c>
    </row>
    <row r="41" spans="1:7" x14ac:dyDescent="0.2">
      <c r="A41" s="42" t="s">
        <v>180</v>
      </c>
      <c r="B41" s="20">
        <v>209503</v>
      </c>
      <c r="C41" s="20">
        <v>190276</v>
      </c>
      <c r="D41" s="20">
        <v>0</v>
      </c>
      <c r="E41" s="20">
        <v>0</v>
      </c>
      <c r="F41" s="20">
        <v>190276</v>
      </c>
      <c r="G41" s="43">
        <v>183596</v>
      </c>
    </row>
    <row r="42" spans="1:7" x14ac:dyDescent="0.2">
      <c r="A42" s="42" t="s">
        <v>181</v>
      </c>
      <c r="B42" s="20">
        <v>47498</v>
      </c>
      <c r="C42" s="20">
        <v>43138</v>
      </c>
      <c r="D42" s="20">
        <v>0</v>
      </c>
      <c r="E42" s="20">
        <v>0</v>
      </c>
      <c r="F42" s="20">
        <v>43138</v>
      </c>
      <c r="G42" s="43">
        <v>41624</v>
      </c>
    </row>
    <row r="43" spans="1:7" x14ac:dyDescent="0.2">
      <c r="A43" s="42" t="s">
        <v>182</v>
      </c>
      <c r="B43" s="20">
        <v>74508</v>
      </c>
      <c r="C43" s="20">
        <v>67670</v>
      </c>
      <c r="D43" s="20">
        <v>0</v>
      </c>
      <c r="E43" s="20">
        <v>0</v>
      </c>
      <c r="F43" s="20">
        <v>67670</v>
      </c>
      <c r="G43" s="43">
        <v>65294</v>
      </c>
    </row>
    <row r="44" spans="1:7" x14ac:dyDescent="0.2">
      <c r="A44" s="42" t="s">
        <v>183</v>
      </c>
      <c r="B44" s="20">
        <v>181381</v>
      </c>
      <c r="C44" s="20">
        <v>164734</v>
      </c>
      <c r="D44" s="20">
        <v>0</v>
      </c>
      <c r="E44" s="20">
        <v>0</v>
      </c>
      <c r="F44" s="20">
        <v>164734</v>
      </c>
      <c r="G44" s="43">
        <v>158952</v>
      </c>
    </row>
    <row r="45" spans="1:7" x14ac:dyDescent="0.2">
      <c r="A45" s="42" t="s">
        <v>184</v>
      </c>
      <c r="B45" s="20">
        <v>12328</v>
      </c>
      <c r="C45" s="20">
        <v>11197</v>
      </c>
      <c r="D45" s="20">
        <v>0</v>
      </c>
      <c r="E45" s="20">
        <v>0</v>
      </c>
      <c r="F45" s="20">
        <v>11197</v>
      </c>
      <c r="G45" s="43">
        <v>10804</v>
      </c>
    </row>
    <row r="46" spans="1:7" x14ac:dyDescent="0.2">
      <c r="A46" s="42" t="s">
        <v>185</v>
      </c>
      <c r="B46" s="20">
        <v>65610</v>
      </c>
      <c r="C46" s="20">
        <v>59588</v>
      </c>
      <c r="D46" s="20">
        <v>0</v>
      </c>
      <c r="E46" s="20">
        <v>0</v>
      </c>
      <c r="F46" s="20">
        <v>59588</v>
      </c>
      <c r="G46" s="43">
        <v>57497</v>
      </c>
    </row>
    <row r="47" spans="1:7" x14ac:dyDescent="0.2">
      <c r="A47" s="42" t="s">
        <v>186</v>
      </c>
      <c r="B47" s="20">
        <v>9764</v>
      </c>
      <c r="C47" s="20">
        <v>8868</v>
      </c>
      <c r="D47" s="20">
        <v>0</v>
      </c>
      <c r="E47" s="20">
        <v>0</v>
      </c>
      <c r="F47" s="20">
        <v>8868</v>
      </c>
      <c r="G47" s="43">
        <v>8556</v>
      </c>
    </row>
    <row r="48" spans="1:7" x14ac:dyDescent="0.2">
      <c r="A48" s="42" t="s">
        <v>187</v>
      </c>
      <c r="B48" s="20">
        <v>100899</v>
      </c>
      <c r="C48" s="20">
        <v>91639</v>
      </c>
      <c r="D48" s="20">
        <v>0</v>
      </c>
      <c r="E48" s="20">
        <v>0</v>
      </c>
      <c r="F48" s="20">
        <v>91639</v>
      </c>
      <c r="G48" s="43">
        <v>88422</v>
      </c>
    </row>
    <row r="49" spans="1:7" x14ac:dyDescent="0.2">
      <c r="A49" s="42" t="s">
        <v>188</v>
      </c>
      <c r="B49" s="20">
        <v>315526</v>
      </c>
      <c r="C49" s="20">
        <v>286568</v>
      </c>
      <c r="D49" s="20">
        <v>0</v>
      </c>
      <c r="E49" s="20">
        <v>0</v>
      </c>
      <c r="F49" s="20">
        <v>286568</v>
      </c>
      <c r="G49" s="43">
        <v>276508</v>
      </c>
    </row>
    <row r="50" spans="1:7" x14ac:dyDescent="0.2">
      <c r="A50" s="42" t="s">
        <v>189</v>
      </c>
      <c r="B50" s="20">
        <v>37106</v>
      </c>
      <c r="C50" s="20">
        <v>33701</v>
      </c>
      <c r="D50" s="20">
        <v>0</v>
      </c>
      <c r="E50" s="20">
        <v>0</v>
      </c>
      <c r="F50" s="20">
        <v>33701</v>
      </c>
      <c r="G50" s="43">
        <v>32518</v>
      </c>
    </row>
    <row r="51" spans="1:7" x14ac:dyDescent="0.2">
      <c r="A51" s="42" t="s">
        <v>190</v>
      </c>
      <c r="B51" s="20">
        <v>10827</v>
      </c>
      <c r="C51" s="20">
        <v>9834</v>
      </c>
      <c r="D51" s="20">
        <v>0</v>
      </c>
      <c r="E51" s="20">
        <v>0</v>
      </c>
      <c r="F51" s="20">
        <v>9834</v>
      </c>
      <c r="G51" s="43">
        <v>9488</v>
      </c>
    </row>
    <row r="52" spans="1:7" x14ac:dyDescent="0.2">
      <c r="A52" s="42" t="s">
        <v>191</v>
      </c>
      <c r="B52" s="20">
        <v>86309</v>
      </c>
      <c r="C52" s="20">
        <v>78387</v>
      </c>
      <c r="D52" s="20">
        <v>0</v>
      </c>
      <c r="E52" s="20">
        <v>0</v>
      </c>
      <c r="F52" s="20">
        <v>78387</v>
      </c>
      <c r="G52" s="43">
        <v>75636</v>
      </c>
    </row>
    <row r="53" spans="1:7" x14ac:dyDescent="0.2">
      <c r="A53" s="42" t="s">
        <v>192</v>
      </c>
      <c r="B53" s="20">
        <v>122698</v>
      </c>
      <c r="C53" s="20">
        <v>111437</v>
      </c>
      <c r="D53" s="20">
        <v>0</v>
      </c>
      <c r="E53" s="20">
        <v>0</v>
      </c>
      <c r="F53" s="20">
        <v>111437</v>
      </c>
      <c r="G53" s="43">
        <v>107525</v>
      </c>
    </row>
    <row r="54" spans="1:7" x14ac:dyDescent="0.2">
      <c r="A54" s="42" t="s">
        <v>193</v>
      </c>
      <c r="B54" s="20">
        <v>27509</v>
      </c>
      <c r="C54" s="20">
        <v>24984</v>
      </c>
      <c r="D54" s="20">
        <v>0</v>
      </c>
      <c r="E54" s="20">
        <v>0</v>
      </c>
      <c r="F54" s="20">
        <v>24984</v>
      </c>
      <c r="G54" s="43">
        <v>24107</v>
      </c>
    </row>
    <row r="55" spans="1:7" x14ac:dyDescent="0.2">
      <c r="A55" s="42" t="s">
        <v>194</v>
      </c>
      <c r="B55" s="20">
        <v>92900</v>
      </c>
      <c r="C55" s="20">
        <v>84374</v>
      </c>
      <c r="D55" s="20">
        <v>0</v>
      </c>
      <c r="E55" s="20">
        <v>0</v>
      </c>
      <c r="F55" s="20">
        <v>84374</v>
      </c>
      <c r="G55" s="43">
        <v>81412</v>
      </c>
    </row>
    <row r="56" spans="1:7" x14ac:dyDescent="0.2">
      <c r="A56" s="42" t="s">
        <v>195</v>
      </c>
      <c r="B56" s="20">
        <v>8270</v>
      </c>
      <c r="C56" s="20">
        <v>7511</v>
      </c>
      <c r="D56" s="20">
        <v>0</v>
      </c>
      <c r="E56" s="20">
        <v>0</v>
      </c>
      <c r="F56" s="20">
        <v>7511</v>
      </c>
      <c r="G56" s="43">
        <v>7247</v>
      </c>
    </row>
    <row r="57" spans="1:7" x14ac:dyDescent="0.2">
      <c r="A57" s="42" t="s">
        <v>196</v>
      </c>
      <c r="B57" s="20">
        <v>0</v>
      </c>
      <c r="C57" s="20">
        <v>0</v>
      </c>
      <c r="D57" s="20">
        <v>0</v>
      </c>
      <c r="E57" s="20">
        <v>0</v>
      </c>
      <c r="F57" s="20">
        <v>0</v>
      </c>
      <c r="G57" s="43">
        <v>0</v>
      </c>
    </row>
    <row r="58" spans="1:7" x14ac:dyDescent="0.2">
      <c r="A58" s="42" t="s">
        <v>197</v>
      </c>
      <c r="B58" s="20">
        <v>4261</v>
      </c>
      <c r="C58" s="20">
        <v>3870</v>
      </c>
      <c r="D58" s="20">
        <v>0</v>
      </c>
      <c r="E58" s="20">
        <v>0</v>
      </c>
      <c r="F58" s="20">
        <v>3870</v>
      </c>
      <c r="G58" s="43">
        <v>3735</v>
      </c>
    </row>
    <row r="59" spans="1:7" x14ac:dyDescent="0.2">
      <c r="A59" s="42" t="s">
        <v>198</v>
      </c>
      <c r="B59" s="20">
        <v>0</v>
      </c>
      <c r="C59" s="20">
        <v>0</v>
      </c>
      <c r="D59" s="20">
        <v>0</v>
      </c>
      <c r="E59" s="20">
        <v>0</v>
      </c>
      <c r="F59" s="20">
        <v>0</v>
      </c>
      <c r="G59" s="43">
        <v>0</v>
      </c>
    </row>
    <row r="60" spans="1:7" x14ac:dyDescent="0.2">
      <c r="A60" s="42" t="s">
        <v>199</v>
      </c>
      <c r="B60" s="20">
        <v>22717</v>
      </c>
      <c r="C60" s="20">
        <v>20632</v>
      </c>
      <c r="D60" s="20">
        <v>0</v>
      </c>
      <c r="E60" s="20">
        <v>0</v>
      </c>
      <c r="F60" s="20">
        <v>20632</v>
      </c>
      <c r="G60" s="43">
        <v>19907</v>
      </c>
    </row>
    <row r="61" spans="1:7" x14ac:dyDescent="0.2">
      <c r="A61" s="42" t="s">
        <v>200</v>
      </c>
      <c r="B61" s="20">
        <v>0</v>
      </c>
      <c r="C61" s="20">
        <v>0</v>
      </c>
      <c r="D61" s="20">
        <v>0</v>
      </c>
      <c r="E61" s="20">
        <v>0</v>
      </c>
      <c r="F61" s="20">
        <v>0</v>
      </c>
      <c r="G61" s="43">
        <v>0</v>
      </c>
    </row>
    <row r="62" spans="1:7" x14ac:dyDescent="0.2">
      <c r="A62" s="42" t="s">
        <v>201</v>
      </c>
      <c r="B62" s="20">
        <v>4411</v>
      </c>
      <c r="C62" s="20">
        <v>4006</v>
      </c>
      <c r="D62" s="20">
        <v>0</v>
      </c>
      <c r="E62" s="20">
        <v>0</v>
      </c>
      <c r="F62" s="20">
        <v>4006</v>
      </c>
      <c r="G62" s="43">
        <v>3865</v>
      </c>
    </row>
    <row r="63" spans="1:7" x14ac:dyDescent="0.2">
      <c r="A63" s="42" t="s">
        <v>202</v>
      </c>
      <c r="B63" s="20">
        <v>56314</v>
      </c>
      <c r="C63" s="20">
        <v>54293</v>
      </c>
      <c r="D63" s="20">
        <v>0</v>
      </c>
      <c r="E63" s="20">
        <v>0</v>
      </c>
      <c r="F63" s="20">
        <v>54293</v>
      </c>
      <c r="G63" s="43">
        <v>54293</v>
      </c>
    </row>
    <row r="64" spans="1:7" x14ac:dyDescent="0.2">
      <c r="A64" s="42" t="s">
        <v>203</v>
      </c>
      <c r="B64" s="20">
        <v>0</v>
      </c>
      <c r="C64" s="20">
        <v>0</v>
      </c>
      <c r="D64" s="20">
        <v>0</v>
      </c>
      <c r="E64" s="20">
        <v>0</v>
      </c>
      <c r="F64" s="20">
        <v>0</v>
      </c>
      <c r="G64" s="43">
        <v>0</v>
      </c>
    </row>
    <row r="65" spans="1:7" ht="15" customHeight="1" x14ac:dyDescent="0.2">
      <c r="A65" s="44" t="s">
        <v>204</v>
      </c>
      <c r="B65" s="45">
        <v>4948543</v>
      </c>
      <c r="C65" s="45">
        <v>4497529</v>
      </c>
      <c r="D65" s="45">
        <v>0</v>
      </c>
      <c r="E65" s="45">
        <v>0</v>
      </c>
      <c r="F65" s="45">
        <v>4497529</v>
      </c>
      <c r="G65" s="51">
        <v>4341555</v>
      </c>
    </row>
    <row r="66" spans="1:7" ht="15" customHeight="1" x14ac:dyDescent="0.2">
      <c r="A66" s="101" t="s">
        <v>205</v>
      </c>
      <c r="B66" s="101"/>
      <c r="C66" s="101"/>
      <c r="D66" s="101"/>
      <c r="E66" s="101"/>
      <c r="F66" s="101"/>
      <c r="G66" s="101"/>
    </row>
    <row r="67" spans="1:7" ht="15" customHeight="1" x14ac:dyDescent="0.2">
      <c r="A67" s="102" t="s">
        <v>586</v>
      </c>
      <c r="B67" s="102"/>
      <c r="C67" s="102"/>
      <c r="D67" s="102"/>
      <c r="E67" s="102"/>
      <c r="F67" s="102"/>
      <c r="G67" s="102"/>
    </row>
  </sheetData>
  <mergeCells count="6">
    <mergeCell ref="A67:G67"/>
    <mergeCell ref="A4:A5"/>
    <mergeCell ref="B4:B5"/>
    <mergeCell ref="F4:F5"/>
    <mergeCell ref="G4:G5"/>
    <mergeCell ref="A66:G66"/>
  </mergeCell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221</v>
      </c>
    </row>
    <row r="2" spans="1:7" x14ac:dyDescent="0.2">
      <c r="A2" s="17" t="s">
        <v>338</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61135</v>
      </c>
      <c r="C6" s="20">
        <v>61930</v>
      </c>
      <c r="D6" s="20">
        <v>0</v>
      </c>
      <c r="E6" s="20">
        <v>41306</v>
      </c>
      <c r="F6" s="20">
        <v>103236</v>
      </c>
      <c r="G6" s="43">
        <v>63177</v>
      </c>
    </row>
    <row r="7" spans="1:7" x14ac:dyDescent="0.2">
      <c r="A7" s="42" t="s">
        <v>146</v>
      </c>
      <c r="B7" s="20">
        <v>11308</v>
      </c>
      <c r="C7" s="20">
        <v>11343</v>
      </c>
      <c r="D7" s="20">
        <v>0</v>
      </c>
      <c r="E7" s="20">
        <v>14390</v>
      </c>
      <c r="F7" s="20">
        <v>25733</v>
      </c>
      <c r="G7" s="43">
        <v>11668</v>
      </c>
    </row>
    <row r="8" spans="1:7" x14ac:dyDescent="0.2">
      <c r="A8" s="42" t="s">
        <v>147</v>
      </c>
      <c r="B8" s="20">
        <v>27515</v>
      </c>
      <c r="C8" s="20">
        <v>29108</v>
      </c>
      <c r="D8" s="20">
        <v>0</v>
      </c>
      <c r="E8" s="20">
        <v>23569</v>
      </c>
      <c r="F8" s="20">
        <v>52677</v>
      </c>
      <c r="G8" s="43">
        <v>30147</v>
      </c>
    </row>
    <row r="9" spans="1:7" x14ac:dyDescent="0.2">
      <c r="A9" s="42" t="s">
        <v>148</v>
      </c>
      <c r="B9" s="20">
        <v>33115</v>
      </c>
      <c r="C9" s="20">
        <v>33279</v>
      </c>
      <c r="D9" s="20">
        <v>0</v>
      </c>
      <c r="E9" s="20">
        <v>30164</v>
      </c>
      <c r="F9" s="20">
        <v>63443</v>
      </c>
      <c r="G9" s="43">
        <v>34034</v>
      </c>
    </row>
    <row r="10" spans="1:7" x14ac:dyDescent="0.2">
      <c r="A10" s="42" t="s">
        <v>149</v>
      </c>
      <c r="B10" s="20">
        <v>205361</v>
      </c>
      <c r="C10" s="20">
        <v>199142</v>
      </c>
      <c r="D10" s="20">
        <v>0</v>
      </c>
      <c r="E10" s="20">
        <v>203611</v>
      </c>
      <c r="F10" s="20">
        <v>402753</v>
      </c>
      <c r="G10" s="43">
        <v>200312</v>
      </c>
    </row>
    <row r="11" spans="1:7" x14ac:dyDescent="0.2">
      <c r="A11" s="42" t="s">
        <v>150</v>
      </c>
      <c r="B11" s="20">
        <v>61674</v>
      </c>
      <c r="C11" s="20">
        <v>60861</v>
      </c>
      <c r="D11" s="20">
        <v>0</v>
      </c>
      <c r="E11" s="20">
        <v>71759</v>
      </c>
      <c r="F11" s="20">
        <v>132620</v>
      </c>
      <c r="G11" s="43">
        <v>62466</v>
      </c>
    </row>
    <row r="12" spans="1:7" x14ac:dyDescent="0.2">
      <c r="A12" s="42" t="s">
        <v>151</v>
      </c>
      <c r="B12" s="20">
        <v>73052</v>
      </c>
      <c r="C12" s="20">
        <v>74451</v>
      </c>
      <c r="D12" s="20">
        <v>0</v>
      </c>
      <c r="E12" s="20">
        <v>94097</v>
      </c>
      <c r="F12" s="20">
        <v>168548</v>
      </c>
      <c r="G12" s="43">
        <v>76833</v>
      </c>
    </row>
    <row r="13" spans="1:7" x14ac:dyDescent="0.2">
      <c r="A13" s="42" t="s">
        <v>152</v>
      </c>
      <c r="B13" s="20">
        <v>13371</v>
      </c>
      <c r="C13" s="20">
        <v>13874</v>
      </c>
      <c r="D13" s="20">
        <v>0</v>
      </c>
      <c r="E13" s="20">
        <v>12884</v>
      </c>
      <c r="F13" s="20">
        <v>26758</v>
      </c>
      <c r="G13" s="43">
        <v>14290</v>
      </c>
    </row>
    <row r="14" spans="1:7" x14ac:dyDescent="0.2">
      <c r="A14" s="42" t="s">
        <v>153</v>
      </c>
      <c r="B14" s="20">
        <v>11442</v>
      </c>
      <c r="C14" s="20">
        <v>11478</v>
      </c>
      <c r="D14" s="20">
        <v>0</v>
      </c>
      <c r="E14" s="20">
        <v>14561</v>
      </c>
      <c r="F14" s="20">
        <v>26039</v>
      </c>
      <c r="G14" s="43">
        <v>11806</v>
      </c>
    </row>
    <row r="15" spans="1:7" x14ac:dyDescent="0.2">
      <c r="A15" s="42" t="s">
        <v>154</v>
      </c>
      <c r="B15" s="20">
        <v>98021</v>
      </c>
      <c r="C15" s="20">
        <v>99760</v>
      </c>
      <c r="D15" s="20">
        <v>0</v>
      </c>
      <c r="E15" s="20">
        <v>80777</v>
      </c>
      <c r="F15" s="20">
        <v>180537</v>
      </c>
      <c r="G15" s="43">
        <v>103319</v>
      </c>
    </row>
    <row r="16" spans="1:7" x14ac:dyDescent="0.2">
      <c r="A16" s="42" t="s">
        <v>155</v>
      </c>
      <c r="B16" s="20">
        <v>77500</v>
      </c>
      <c r="C16" s="20">
        <v>78888</v>
      </c>
      <c r="D16" s="20">
        <v>0</v>
      </c>
      <c r="E16" s="20">
        <v>63877</v>
      </c>
      <c r="F16" s="20">
        <v>142765</v>
      </c>
      <c r="G16" s="43">
        <v>81702</v>
      </c>
    </row>
    <row r="17" spans="1:7" x14ac:dyDescent="0.2">
      <c r="A17" s="42" t="s">
        <v>156</v>
      </c>
      <c r="B17" s="20">
        <v>4944</v>
      </c>
      <c r="C17" s="20">
        <v>5169</v>
      </c>
      <c r="D17" s="20">
        <v>0</v>
      </c>
      <c r="E17" s="20">
        <v>4996</v>
      </c>
      <c r="F17" s="20">
        <v>10165</v>
      </c>
      <c r="G17" s="43">
        <v>5336</v>
      </c>
    </row>
    <row r="18" spans="1:7" x14ac:dyDescent="0.2">
      <c r="A18" s="42" t="s">
        <v>157</v>
      </c>
      <c r="B18" s="20">
        <v>20961</v>
      </c>
      <c r="C18" s="20">
        <v>21027</v>
      </c>
      <c r="D18" s="20">
        <v>0</v>
      </c>
      <c r="E18" s="20">
        <v>26674</v>
      </c>
      <c r="F18" s="20">
        <v>47701</v>
      </c>
      <c r="G18" s="43">
        <v>21628</v>
      </c>
    </row>
    <row r="19" spans="1:7" x14ac:dyDescent="0.2">
      <c r="A19" s="42" t="s">
        <v>158</v>
      </c>
      <c r="B19" s="20">
        <v>173955</v>
      </c>
      <c r="C19" s="20">
        <v>172626</v>
      </c>
      <c r="D19" s="20">
        <v>0</v>
      </c>
      <c r="E19" s="20">
        <v>252789</v>
      </c>
      <c r="F19" s="20">
        <v>425415</v>
      </c>
      <c r="G19" s="43">
        <v>177249</v>
      </c>
    </row>
    <row r="20" spans="1:7" x14ac:dyDescent="0.2">
      <c r="A20" s="42" t="s">
        <v>159</v>
      </c>
      <c r="B20" s="20">
        <v>78051</v>
      </c>
      <c r="C20" s="20">
        <v>78129</v>
      </c>
      <c r="D20" s="20">
        <v>0</v>
      </c>
      <c r="E20" s="20">
        <v>114066</v>
      </c>
      <c r="F20" s="20">
        <v>192195</v>
      </c>
      <c r="G20" s="43">
        <v>80247</v>
      </c>
    </row>
    <row r="21" spans="1:7" x14ac:dyDescent="0.2">
      <c r="A21" s="42" t="s">
        <v>160</v>
      </c>
      <c r="B21" s="20">
        <v>55316</v>
      </c>
      <c r="C21" s="20">
        <v>55376</v>
      </c>
      <c r="D21" s="20">
        <v>0</v>
      </c>
      <c r="E21" s="20">
        <v>78508</v>
      </c>
      <c r="F21" s="20">
        <v>133884</v>
      </c>
      <c r="G21" s="43">
        <v>56877</v>
      </c>
    </row>
    <row r="22" spans="1:7" x14ac:dyDescent="0.2">
      <c r="A22" s="42" t="s">
        <v>161</v>
      </c>
      <c r="B22" s="20">
        <v>38166</v>
      </c>
      <c r="C22" s="20">
        <v>38326</v>
      </c>
      <c r="D22" s="20">
        <v>0</v>
      </c>
      <c r="E22" s="20">
        <v>38821</v>
      </c>
      <c r="F22" s="20">
        <v>77147</v>
      </c>
      <c r="G22" s="43">
        <v>39258</v>
      </c>
    </row>
    <row r="23" spans="1:7" x14ac:dyDescent="0.2">
      <c r="A23" s="42" t="s">
        <v>162</v>
      </c>
      <c r="B23" s="20">
        <v>56593</v>
      </c>
      <c r="C23" s="20">
        <v>56692</v>
      </c>
      <c r="D23" s="20">
        <v>0</v>
      </c>
      <c r="E23" s="20">
        <v>61571</v>
      </c>
      <c r="F23" s="20">
        <v>118263</v>
      </c>
      <c r="G23" s="43">
        <v>58118</v>
      </c>
    </row>
    <row r="24" spans="1:7" x14ac:dyDescent="0.2">
      <c r="A24" s="42" t="s">
        <v>163</v>
      </c>
      <c r="B24" s="20">
        <v>55813</v>
      </c>
      <c r="C24" s="20">
        <v>55089</v>
      </c>
      <c r="D24" s="20">
        <v>0</v>
      </c>
      <c r="E24" s="20">
        <v>41415</v>
      </c>
      <c r="F24" s="20">
        <v>96504</v>
      </c>
      <c r="G24" s="43">
        <v>56126</v>
      </c>
    </row>
    <row r="25" spans="1:7" x14ac:dyDescent="0.2">
      <c r="A25" s="42" t="s">
        <v>164</v>
      </c>
      <c r="B25" s="20">
        <v>38874</v>
      </c>
      <c r="C25" s="20">
        <v>38916</v>
      </c>
      <c r="D25" s="20">
        <v>0</v>
      </c>
      <c r="E25" s="20">
        <v>55172</v>
      </c>
      <c r="F25" s="20">
        <v>94088</v>
      </c>
      <c r="G25" s="43">
        <v>39971</v>
      </c>
    </row>
    <row r="26" spans="1:7" x14ac:dyDescent="0.2">
      <c r="A26" s="42" t="s">
        <v>165</v>
      </c>
      <c r="B26" s="20">
        <v>80028</v>
      </c>
      <c r="C26" s="20">
        <v>78976</v>
      </c>
      <c r="D26" s="20">
        <v>0</v>
      </c>
      <c r="E26" s="20">
        <v>73506</v>
      </c>
      <c r="F26" s="20">
        <v>152482</v>
      </c>
      <c r="G26" s="43">
        <v>80712</v>
      </c>
    </row>
    <row r="27" spans="1:7" x14ac:dyDescent="0.2">
      <c r="A27" s="42" t="s">
        <v>166</v>
      </c>
      <c r="B27" s="20">
        <v>132230</v>
      </c>
      <c r="C27" s="20">
        <v>136500</v>
      </c>
      <c r="D27" s="20">
        <v>0</v>
      </c>
      <c r="E27" s="20">
        <v>187074</v>
      </c>
      <c r="F27" s="20">
        <v>323574</v>
      </c>
      <c r="G27" s="43">
        <v>141501</v>
      </c>
    </row>
    <row r="28" spans="1:7" x14ac:dyDescent="0.2">
      <c r="A28" s="42" t="s">
        <v>167</v>
      </c>
      <c r="B28" s="20">
        <v>162718</v>
      </c>
      <c r="C28" s="20">
        <v>162794</v>
      </c>
      <c r="D28" s="20">
        <v>0</v>
      </c>
      <c r="E28" s="20">
        <v>238219</v>
      </c>
      <c r="F28" s="20">
        <v>401013</v>
      </c>
      <c r="G28" s="43">
        <v>167196</v>
      </c>
    </row>
    <row r="29" spans="1:7" x14ac:dyDescent="0.2">
      <c r="A29" s="42" t="s">
        <v>168</v>
      </c>
      <c r="B29" s="20">
        <v>117911</v>
      </c>
      <c r="C29" s="20">
        <v>118039</v>
      </c>
      <c r="D29" s="20">
        <v>0</v>
      </c>
      <c r="E29" s="20">
        <v>167347</v>
      </c>
      <c r="F29" s="20">
        <v>285386</v>
      </c>
      <c r="G29" s="43">
        <v>121238</v>
      </c>
    </row>
    <row r="30" spans="1:7" x14ac:dyDescent="0.2">
      <c r="A30" s="42" t="s">
        <v>169</v>
      </c>
      <c r="B30" s="20">
        <v>36621</v>
      </c>
      <c r="C30" s="20">
        <v>36749</v>
      </c>
      <c r="D30" s="20">
        <v>0</v>
      </c>
      <c r="E30" s="20">
        <v>33752</v>
      </c>
      <c r="F30" s="20">
        <v>70501</v>
      </c>
      <c r="G30" s="43">
        <v>37578</v>
      </c>
    </row>
    <row r="31" spans="1:7" x14ac:dyDescent="0.2">
      <c r="A31" s="42" t="s">
        <v>170</v>
      </c>
      <c r="B31" s="20">
        <v>83220</v>
      </c>
      <c r="C31" s="20">
        <v>83502</v>
      </c>
      <c r="D31" s="20">
        <v>0</v>
      </c>
      <c r="E31" s="20">
        <v>103843</v>
      </c>
      <c r="F31" s="20">
        <v>187345</v>
      </c>
      <c r="G31" s="43">
        <v>85858</v>
      </c>
    </row>
    <row r="32" spans="1:7" x14ac:dyDescent="0.2">
      <c r="A32" s="42" t="s">
        <v>171</v>
      </c>
      <c r="B32" s="20">
        <v>21323</v>
      </c>
      <c r="C32" s="20">
        <v>21390</v>
      </c>
      <c r="D32" s="20">
        <v>0</v>
      </c>
      <c r="E32" s="20">
        <v>27134</v>
      </c>
      <c r="F32" s="20">
        <v>48524</v>
      </c>
      <c r="G32" s="43">
        <v>22001</v>
      </c>
    </row>
    <row r="33" spans="1:7" x14ac:dyDescent="0.2">
      <c r="A33" s="42" t="s">
        <v>172</v>
      </c>
      <c r="B33" s="20">
        <v>32361</v>
      </c>
      <c r="C33" s="20">
        <v>32444</v>
      </c>
      <c r="D33" s="20">
        <v>0</v>
      </c>
      <c r="E33" s="20">
        <v>41181</v>
      </c>
      <c r="F33" s="20">
        <v>73625</v>
      </c>
      <c r="G33" s="43">
        <v>33373</v>
      </c>
    </row>
    <row r="34" spans="1:7" x14ac:dyDescent="0.2">
      <c r="A34" s="42" t="s">
        <v>173</v>
      </c>
      <c r="B34" s="20">
        <v>14071</v>
      </c>
      <c r="C34" s="20">
        <v>14323</v>
      </c>
      <c r="D34" s="20">
        <v>0</v>
      </c>
      <c r="E34" s="20">
        <v>11597</v>
      </c>
      <c r="F34" s="20">
        <v>25920</v>
      </c>
      <c r="G34" s="43">
        <v>14834</v>
      </c>
    </row>
    <row r="35" spans="1:7" x14ac:dyDescent="0.2">
      <c r="A35" s="42" t="s">
        <v>174</v>
      </c>
      <c r="B35" s="20">
        <v>27896</v>
      </c>
      <c r="C35" s="20">
        <v>27983</v>
      </c>
      <c r="D35" s="20">
        <v>0</v>
      </c>
      <c r="E35" s="20">
        <v>35499</v>
      </c>
      <c r="F35" s="20">
        <v>63482</v>
      </c>
      <c r="G35" s="43">
        <v>28784</v>
      </c>
    </row>
    <row r="36" spans="1:7" x14ac:dyDescent="0.2">
      <c r="A36" s="42" t="s">
        <v>175</v>
      </c>
      <c r="B36" s="20">
        <v>121766</v>
      </c>
      <c r="C36" s="20">
        <v>123297</v>
      </c>
      <c r="D36" s="20">
        <v>0</v>
      </c>
      <c r="E36" s="20">
        <v>172974</v>
      </c>
      <c r="F36" s="20">
        <v>296271</v>
      </c>
      <c r="G36" s="43">
        <v>127370</v>
      </c>
    </row>
    <row r="37" spans="1:7" x14ac:dyDescent="0.2">
      <c r="A37" s="42" t="s">
        <v>176</v>
      </c>
      <c r="B37" s="20">
        <v>22700</v>
      </c>
      <c r="C37" s="20">
        <v>21231</v>
      </c>
      <c r="D37" s="20">
        <v>0</v>
      </c>
      <c r="E37" s="20">
        <v>22314</v>
      </c>
      <c r="F37" s="20">
        <v>43545</v>
      </c>
      <c r="G37" s="43">
        <v>21743</v>
      </c>
    </row>
    <row r="38" spans="1:7" x14ac:dyDescent="0.2">
      <c r="A38" s="42" t="s">
        <v>177</v>
      </c>
      <c r="B38" s="20">
        <v>377433</v>
      </c>
      <c r="C38" s="20">
        <v>377841</v>
      </c>
      <c r="D38" s="20">
        <v>0</v>
      </c>
      <c r="E38" s="20">
        <v>535676</v>
      </c>
      <c r="F38" s="20">
        <v>913517</v>
      </c>
      <c r="G38" s="43">
        <v>388083</v>
      </c>
    </row>
    <row r="39" spans="1:7" x14ac:dyDescent="0.2">
      <c r="A39" s="42" t="s">
        <v>178</v>
      </c>
      <c r="B39" s="20">
        <v>103039</v>
      </c>
      <c r="C39" s="20">
        <v>105045</v>
      </c>
      <c r="D39" s="20">
        <v>0</v>
      </c>
      <c r="E39" s="20">
        <v>86970</v>
      </c>
      <c r="F39" s="20">
        <v>192015</v>
      </c>
      <c r="G39" s="43">
        <v>107612</v>
      </c>
    </row>
    <row r="40" spans="1:7" x14ac:dyDescent="0.2">
      <c r="A40" s="42" t="s">
        <v>179</v>
      </c>
      <c r="B40" s="20">
        <v>21069</v>
      </c>
      <c r="C40" s="20">
        <v>21400</v>
      </c>
      <c r="D40" s="20">
        <v>0</v>
      </c>
      <c r="E40" s="20">
        <v>27147</v>
      </c>
      <c r="F40" s="20">
        <v>48547</v>
      </c>
      <c r="G40" s="43">
        <v>22012</v>
      </c>
    </row>
    <row r="41" spans="1:7" x14ac:dyDescent="0.2">
      <c r="A41" s="42" t="s">
        <v>180</v>
      </c>
      <c r="B41" s="20">
        <v>156643</v>
      </c>
      <c r="C41" s="20">
        <v>155675</v>
      </c>
      <c r="D41" s="20">
        <v>0</v>
      </c>
      <c r="E41" s="20">
        <v>226880</v>
      </c>
      <c r="F41" s="20">
        <v>382555</v>
      </c>
      <c r="G41" s="43">
        <v>160529</v>
      </c>
    </row>
    <row r="42" spans="1:7" x14ac:dyDescent="0.2">
      <c r="A42" s="42" t="s">
        <v>181</v>
      </c>
      <c r="B42" s="20">
        <v>43897</v>
      </c>
      <c r="C42" s="20">
        <v>42574</v>
      </c>
      <c r="D42" s="20">
        <v>0</v>
      </c>
      <c r="E42" s="20">
        <v>31955</v>
      </c>
      <c r="F42" s="20">
        <v>74529</v>
      </c>
      <c r="G42" s="43">
        <v>42791</v>
      </c>
    </row>
    <row r="43" spans="1:7" x14ac:dyDescent="0.2">
      <c r="A43" s="42" t="s">
        <v>182</v>
      </c>
      <c r="B43" s="20">
        <v>38376</v>
      </c>
      <c r="C43" s="20">
        <v>37213</v>
      </c>
      <c r="D43" s="20">
        <v>0</v>
      </c>
      <c r="E43" s="20">
        <v>54516</v>
      </c>
      <c r="F43" s="20">
        <v>91729</v>
      </c>
      <c r="G43" s="43">
        <v>38239</v>
      </c>
    </row>
    <row r="44" spans="1:7" x14ac:dyDescent="0.2">
      <c r="A44" s="42" t="s">
        <v>183</v>
      </c>
      <c r="B44" s="20">
        <v>203025</v>
      </c>
      <c r="C44" s="20">
        <v>203099</v>
      </c>
      <c r="D44" s="20">
        <v>0</v>
      </c>
      <c r="E44" s="20">
        <v>297671</v>
      </c>
      <c r="F44" s="20">
        <v>500770</v>
      </c>
      <c r="G44" s="43">
        <v>208571</v>
      </c>
    </row>
    <row r="45" spans="1:7" x14ac:dyDescent="0.2">
      <c r="A45" s="42" t="s">
        <v>184</v>
      </c>
      <c r="B45" s="20">
        <v>24218</v>
      </c>
      <c r="C45" s="20">
        <v>24294</v>
      </c>
      <c r="D45" s="20">
        <v>0</v>
      </c>
      <c r="E45" s="20">
        <v>30819</v>
      </c>
      <c r="F45" s="20">
        <v>55113</v>
      </c>
      <c r="G45" s="43">
        <v>24989</v>
      </c>
    </row>
    <row r="46" spans="1:7" x14ac:dyDescent="0.2">
      <c r="A46" s="42" t="s">
        <v>185</v>
      </c>
      <c r="B46" s="20">
        <v>49011</v>
      </c>
      <c r="C46" s="20">
        <v>50037</v>
      </c>
      <c r="D46" s="20">
        <v>0</v>
      </c>
      <c r="E46" s="20">
        <v>35118</v>
      </c>
      <c r="F46" s="20">
        <v>85155</v>
      </c>
      <c r="G46" s="43">
        <v>51856</v>
      </c>
    </row>
    <row r="47" spans="1:7" x14ac:dyDescent="0.2">
      <c r="A47" s="42" t="s">
        <v>186</v>
      </c>
      <c r="B47" s="20">
        <v>19504</v>
      </c>
      <c r="C47" s="20">
        <v>19299</v>
      </c>
      <c r="D47" s="20">
        <v>0</v>
      </c>
      <c r="E47" s="20">
        <v>24483</v>
      </c>
      <c r="F47" s="20">
        <v>43782</v>
      </c>
      <c r="G47" s="43">
        <v>19851</v>
      </c>
    </row>
    <row r="48" spans="1:7" x14ac:dyDescent="0.2">
      <c r="A48" s="42" t="s">
        <v>187</v>
      </c>
      <c r="B48" s="20">
        <v>72437</v>
      </c>
      <c r="C48" s="20">
        <v>73763</v>
      </c>
      <c r="D48" s="20">
        <v>0</v>
      </c>
      <c r="E48" s="20">
        <v>64311</v>
      </c>
      <c r="F48" s="20">
        <v>138074</v>
      </c>
      <c r="G48" s="43">
        <v>75604</v>
      </c>
    </row>
    <row r="49" spans="1:7" x14ac:dyDescent="0.2">
      <c r="A49" s="42" t="s">
        <v>188</v>
      </c>
      <c r="B49" s="20">
        <v>163074</v>
      </c>
      <c r="C49" s="20">
        <v>165993</v>
      </c>
      <c r="D49" s="20">
        <v>0</v>
      </c>
      <c r="E49" s="20">
        <v>134407</v>
      </c>
      <c r="F49" s="20">
        <v>300400</v>
      </c>
      <c r="G49" s="43">
        <v>171916</v>
      </c>
    </row>
    <row r="50" spans="1:7" x14ac:dyDescent="0.2">
      <c r="A50" s="42" t="s">
        <v>189</v>
      </c>
      <c r="B50" s="20">
        <v>25996</v>
      </c>
      <c r="C50" s="20">
        <v>25960</v>
      </c>
      <c r="D50" s="20">
        <v>0</v>
      </c>
      <c r="E50" s="20">
        <v>32932</v>
      </c>
      <c r="F50" s="20">
        <v>58892</v>
      </c>
      <c r="G50" s="43">
        <v>26702</v>
      </c>
    </row>
    <row r="51" spans="1:7" x14ac:dyDescent="0.2">
      <c r="A51" s="42" t="s">
        <v>190</v>
      </c>
      <c r="B51" s="20">
        <v>20909</v>
      </c>
      <c r="C51" s="20">
        <v>20974</v>
      </c>
      <c r="D51" s="20">
        <v>0</v>
      </c>
      <c r="E51" s="20">
        <v>26608</v>
      </c>
      <c r="F51" s="20">
        <v>47582</v>
      </c>
      <c r="G51" s="43">
        <v>21574</v>
      </c>
    </row>
    <row r="52" spans="1:7" x14ac:dyDescent="0.2">
      <c r="A52" s="42" t="s">
        <v>191</v>
      </c>
      <c r="B52" s="20">
        <v>95412</v>
      </c>
      <c r="C52" s="20">
        <v>97608</v>
      </c>
      <c r="D52" s="20">
        <v>0</v>
      </c>
      <c r="E52" s="20">
        <v>90219</v>
      </c>
      <c r="F52" s="20">
        <v>187827</v>
      </c>
      <c r="G52" s="43">
        <v>100233</v>
      </c>
    </row>
    <row r="53" spans="1:7" x14ac:dyDescent="0.2">
      <c r="A53" s="42" t="s">
        <v>192</v>
      </c>
      <c r="B53" s="20">
        <v>65799</v>
      </c>
      <c r="C53" s="20">
        <v>63806</v>
      </c>
      <c r="D53" s="20">
        <v>0</v>
      </c>
      <c r="E53" s="20">
        <v>86209</v>
      </c>
      <c r="F53" s="20">
        <v>150015</v>
      </c>
      <c r="G53" s="43">
        <v>64370</v>
      </c>
    </row>
    <row r="54" spans="1:7" x14ac:dyDescent="0.2">
      <c r="A54" s="42" t="s">
        <v>193</v>
      </c>
      <c r="B54" s="20">
        <v>31798</v>
      </c>
      <c r="C54" s="20">
        <v>31897</v>
      </c>
      <c r="D54" s="20">
        <v>0</v>
      </c>
      <c r="E54" s="20">
        <v>40464</v>
      </c>
      <c r="F54" s="20">
        <v>72361</v>
      </c>
      <c r="G54" s="43">
        <v>32810</v>
      </c>
    </row>
    <row r="55" spans="1:7" x14ac:dyDescent="0.2">
      <c r="A55" s="42" t="s">
        <v>194</v>
      </c>
      <c r="B55" s="20">
        <v>106137</v>
      </c>
      <c r="C55" s="20">
        <v>106252</v>
      </c>
      <c r="D55" s="20">
        <v>0</v>
      </c>
      <c r="E55" s="20">
        <v>150636</v>
      </c>
      <c r="F55" s="20">
        <v>256888</v>
      </c>
      <c r="G55" s="43">
        <v>109132</v>
      </c>
    </row>
    <row r="56" spans="1:7" x14ac:dyDescent="0.2">
      <c r="A56" s="42" t="s">
        <v>195</v>
      </c>
      <c r="B56" s="20">
        <v>10008</v>
      </c>
      <c r="C56" s="20">
        <v>10031</v>
      </c>
      <c r="D56" s="20">
        <v>0</v>
      </c>
      <c r="E56" s="20">
        <v>12721</v>
      </c>
      <c r="F56" s="20">
        <v>22752</v>
      </c>
      <c r="G56" s="43">
        <v>10316</v>
      </c>
    </row>
    <row r="57" spans="1:7" x14ac:dyDescent="0.2">
      <c r="A57" s="42" t="s">
        <v>196</v>
      </c>
      <c r="B57" s="20">
        <v>309</v>
      </c>
      <c r="C57" s="20">
        <v>310</v>
      </c>
      <c r="D57" s="20">
        <v>0</v>
      </c>
      <c r="E57" s="20">
        <v>372</v>
      </c>
      <c r="F57" s="20">
        <v>682</v>
      </c>
      <c r="G57" s="43">
        <v>318</v>
      </c>
    </row>
    <row r="58" spans="1:7" x14ac:dyDescent="0.2">
      <c r="A58" s="42" t="s">
        <v>197</v>
      </c>
      <c r="B58" s="20">
        <v>677</v>
      </c>
      <c r="C58" s="20">
        <v>679</v>
      </c>
      <c r="D58" s="20">
        <v>0</v>
      </c>
      <c r="E58" s="20">
        <v>817</v>
      </c>
      <c r="F58" s="20">
        <v>1496</v>
      </c>
      <c r="G58" s="43">
        <v>698</v>
      </c>
    </row>
    <row r="59" spans="1:7" x14ac:dyDescent="0.2">
      <c r="A59" s="42" t="s">
        <v>198</v>
      </c>
      <c r="B59" s="20">
        <v>235</v>
      </c>
      <c r="C59" s="20">
        <v>236</v>
      </c>
      <c r="D59" s="20">
        <v>0</v>
      </c>
      <c r="E59" s="20">
        <v>284</v>
      </c>
      <c r="F59" s="20">
        <v>520</v>
      </c>
      <c r="G59" s="43">
        <v>242</v>
      </c>
    </row>
    <row r="60" spans="1:7" x14ac:dyDescent="0.2">
      <c r="A60" s="42" t="s">
        <v>199</v>
      </c>
      <c r="B60" s="20">
        <v>16804</v>
      </c>
      <c r="C60" s="20">
        <v>16854</v>
      </c>
      <c r="D60" s="20">
        <v>0</v>
      </c>
      <c r="E60" s="20">
        <v>20269</v>
      </c>
      <c r="F60" s="20">
        <v>37123</v>
      </c>
      <c r="G60" s="43">
        <v>17316</v>
      </c>
    </row>
    <row r="61" spans="1:7" x14ac:dyDescent="0.2">
      <c r="A61" s="42" t="s">
        <v>200</v>
      </c>
      <c r="B61" s="20">
        <v>0</v>
      </c>
      <c r="C61" s="20">
        <v>0</v>
      </c>
      <c r="D61" s="20">
        <v>0</v>
      </c>
      <c r="E61" s="20">
        <v>0</v>
      </c>
      <c r="F61" s="20">
        <v>0</v>
      </c>
      <c r="G61" s="43">
        <v>0</v>
      </c>
    </row>
    <row r="62" spans="1:7" x14ac:dyDescent="0.2">
      <c r="A62" s="42" t="s">
        <v>201</v>
      </c>
      <c r="B62" s="20">
        <v>640</v>
      </c>
      <c r="C62" s="20">
        <v>642</v>
      </c>
      <c r="D62" s="20">
        <v>0</v>
      </c>
      <c r="E62" s="20">
        <v>772</v>
      </c>
      <c r="F62" s="20">
        <v>1414</v>
      </c>
      <c r="G62" s="43">
        <v>660</v>
      </c>
    </row>
    <row r="63" spans="1:7" x14ac:dyDescent="0.2">
      <c r="A63" s="42" t="s">
        <v>202</v>
      </c>
      <c r="B63" s="20">
        <v>42801</v>
      </c>
      <c r="C63" s="20">
        <v>42630</v>
      </c>
      <c r="D63" s="20">
        <v>0</v>
      </c>
      <c r="E63" s="20">
        <v>48296</v>
      </c>
      <c r="F63" s="20">
        <v>90926</v>
      </c>
      <c r="G63" s="43">
        <v>43628</v>
      </c>
    </row>
    <row r="64" spans="1:7" x14ac:dyDescent="0.2">
      <c r="A64" s="42" t="s">
        <v>203</v>
      </c>
      <c r="B64" s="20">
        <v>0</v>
      </c>
      <c r="C64" s="20">
        <v>0</v>
      </c>
      <c r="D64" s="20">
        <v>0</v>
      </c>
      <c r="E64" s="20">
        <v>0</v>
      </c>
      <c r="F64" s="20">
        <v>0</v>
      </c>
      <c r="G64" s="43">
        <v>0</v>
      </c>
    </row>
    <row r="65" spans="1:7" ht="15" customHeight="1" x14ac:dyDescent="0.2">
      <c r="A65" s="44" t="s">
        <v>204</v>
      </c>
      <c r="B65" s="45">
        <v>3738263</v>
      </c>
      <c r="C65" s="45">
        <v>3746804</v>
      </c>
      <c r="D65" s="45">
        <v>0</v>
      </c>
      <c r="E65" s="45">
        <v>4499999</v>
      </c>
      <c r="F65" s="45">
        <v>8246803</v>
      </c>
      <c r="G65" s="51">
        <v>3846804</v>
      </c>
    </row>
    <row r="66" spans="1:7" ht="15" customHeight="1" x14ac:dyDescent="0.2">
      <c r="A66" s="101" t="s">
        <v>205</v>
      </c>
      <c r="B66" s="101"/>
      <c r="C66" s="101"/>
      <c r="D66" s="101"/>
      <c r="E66" s="101"/>
      <c r="F66" s="101"/>
      <c r="G66" s="101"/>
    </row>
    <row r="67" spans="1:7" ht="30" customHeight="1" x14ac:dyDescent="0.2">
      <c r="A67" s="102" t="s">
        <v>587</v>
      </c>
      <c r="B67" s="102"/>
      <c r="C67" s="102"/>
      <c r="D67" s="102"/>
      <c r="E67" s="102"/>
      <c r="F67" s="102"/>
      <c r="G67" s="102"/>
    </row>
    <row r="68" spans="1:7" ht="14.25" customHeight="1" x14ac:dyDescent="0.2">
      <c r="A68" s="102" t="s">
        <v>588</v>
      </c>
      <c r="B68" s="102"/>
      <c r="C68" s="102"/>
      <c r="D68" s="102"/>
      <c r="E68" s="102"/>
      <c r="F68" s="102"/>
      <c r="G68" s="102"/>
    </row>
    <row r="69" spans="1:7" ht="17.25" customHeight="1" x14ac:dyDescent="0.2">
      <c r="A69" s="102" t="s">
        <v>583</v>
      </c>
      <c r="B69" s="103"/>
      <c r="C69" s="103"/>
      <c r="D69" s="103"/>
      <c r="E69" s="103"/>
      <c r="F69" s="103"/>
      <c r="G69" s="103"/>
    </row>
  </sheetData>
  <mergeCells count="8">
    <mergeCell ref="A68:G68"/>
    <mergeCell ref="A69:G69"/>
    <mergeCell ref="A4:A5"/>
    <mergeCell ref="B4:B5"/>
    <mergeCell ref="F4:F5"/>
    <mergeCell ref="G4:G5"/>
    <mergeCell ref="A66:G66"/>
    <mergeCell ref="A67:G67"/>
  </mergeCells>
  <pageMargins left="0.7" right="0.7" top="0.75" bottom="0.75" header="0.3" footer="0.3"/>
  <pageSetup orientation="portrait"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222</v>
      </c>
    </row>
    <row r="2" spans="1:7" x14ac:dyDescent="0.2">
      <c r="A2" s="17" t="s">
        <v>339</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103937</v>
      </c>
      <c r="C6" s="20">
        <v>106929</v>
      </c>
      <c r="D6" s="20">
        <v>188165</v>
      </c>
      <c r="E6" s="20">
        <v>732997</v>
      </c>
      <c r="F6" s="20">
        <v>1028091</v>
      </c>
      <c r="G6" s="43">
        <v>133954</v>
      </c>
    </row>
    <row r="7" spans="1:7" x14ac:dyDescent="0.2">
      <c r="A7" s="42" t="s">
        <v>146</v>
      </c>
      <c r="B7" s="20">
        <v>10383</v>
      </c>
      <c r="C7" s="20">
        <v>10740</v>
      </c>
      <c r="D7" s="20">
        <v>18900</v>
      </c>
      <c r="E7" s="20">
        <v>73624</v>
      </c>
      <c r="F7" s="20">
        <v>103264</v>
      </c>
      <c r="G7" s="43">
        <v>13455</v>
      </c>
    </row>
    <row r="8" spans="1:7" x14ac:dyDescent="0.2">
      <c r="A8" s="42" t="s">
        <v>147</v>
      </c>
      <c r="B8" s="20">
        <v>140817</v>
      </c>
      <c r="C8" s="20">
        <v>141294</v>
      </c>
      <c r="D8" s="20">
        <v>248639</v>
      </c>
      <c r="E8" s="20">
        <v>968573</v>
      </c>
      <c r="F8" s="20">
        <v>1358506</v>
      </c>
      <c r="G8" s="43">
        <v>177004</v>
      </c>
    </row>
    <row r="9" spans="1:7" x14ac:dyDescent="0.2">
      <c r="A9" s="42" t="s">
        <v>148</v>
      </c>
      <c r="B9" s="20">
        <v>66344</v>
      </c>
      <c r="C9" s="20">
        <v>67774</v>
      </c>
      <c r="D9" s="20">
        <v>119265</v>
      </c>
      <c r="E9" s="20">
        <v>464595</v>
      </c>
      <c r="F9" s="20">
        <v>651634</v>
      </c>
      <c r="G9" s="43">
        <v>84904</v>
      </c>
    </row>
    <row r="10" spans="1:7" x14ac:dyDescent="0.2">
      <c r="A10" s="42" t="s">
        <v>149</v>
      </c>
      <c r="B10" s="20">
        <v>560532</v>
      </c>
      <c r="C10" s="20">
        <v>547996</v>
      </c>
      <c r="D10" s="20">
        <v>964324</v>
      </c>
      <c r="E10" s="20">
        <v>3756522</v>
      </c>
      <c r="F10" s="20">
        <v>5268842</v>
      </c>
      <c r="G10" s="43">
        <v>686496</v>
      </c>
    </row>
    <row r="11" spans="1:7" x14ac:dyDescent="0.2">
      <c r="A11" s="42" t="s">
        <v>150</v>
      </c>
      <c r="B11" s="20">
        <v>67936</v>
      </c>
      <c r="C11" s="20">
        <v>67791</v>
      </c>
      <c r="D11" s="20">
        <v>119294</v>
      </c>
      <c r="E11" s="20">
        <v>464710</v>
      </c>
      <c r="F11" s="20">
        <v>651795</v>
      </c>
      <c r="G11" s="43">
        <v>84925</v>
      </c>
    </row>
    <row r="12" spans="1:7" x14ac:dyDescent="0.2">
      <c r="A12" s="42" t="s">
        <v>151</v>
      </c>
      <c r="B12" s="20">
        <v>37609</v>
      </c>
      <c r="C12" s="20">
        <v>40245</v>
      </c>
      <c r="D12" s="20">
        <v>70820</v>
      </c>
      <c r="E12" s="20">
        <v>275880</v>
      </c>
      <c r="F12" s="20">
        <v>386945</v>
      </c>
      <c r="G12" s="43">
        <v>50416</v>
      </c>
    </row>
    <row r="13" spans="1:7" x14ac:dyDescent="0.2">
      <c r="A13" s="42" t="s">
        <v>152</v>
      </c>
      <c r="B13" s="20">
        <v>15613</v>
      </c>
      <c r="C13" s="20">
        <v>15814</v>
      </c>
      <c r="D13" s="20">
        <v>27828</v>
      </c>
      <c r="E13" s="20">
        <v>108405</v>
      </c>
      <c r="F13" s="20">
        <v>152047</v>
      </c>
      <c r="G13" s="43">
        <v>19811</v>
      </c>
    </row>
    <row r="14" spans="1:7" x14ac:dyDescent="0.2">
      <c r="A14" s="42" t="s">
        <v>153</v>
      </c>
      <c r="B14" s="20">
        <v>9601</v>
      </c>
      <c r="C14" s="20">
        <v>9439</v>
      </c>
      <c r="D14" s="20">
        <v>16610</v>
      </c>
      <c r="E14" s="20">
        <v>64703</v>
      </c>
      <c r="F14" s="20">
        <v>90752</v>
      </c>
      <c r="G14" s="43">
        <v>11824</v>
      </c>
    </row>
    <row r="15" spans="1:7" x14ac:dyDescent="0.2">
      <c r="A15" s="42" t="s">
        <v>154</v>
      </c>
      <c r="B15" s="20">
        <v>357788</v>
      </c>
      <c r="C15" s="20">
        <v>360828</v>
      </c>
      <c r="D15" s="20">
        <v>634961</v>
      </c>
      <c r="E15" s="20">
        <v>2473487</v>
      </c>
      <c r="F15" s="20">
        <v>3469276</v>
      </c>
      <c r="G15" s="43">
        <v>452024</v>
      </c>
    </row>
    <row r="16" spans="1:7" x14ac:dyDescent="0.2">
      <c r="A16" s="42" t="s">
        <v>155</v>
      </c>
      <c r="B16" s="20">
        <v>231276</v>
      </c>
      <c r="C16" s="20">
        <v>229388</v>
      </c>
      <c r="D16" s="20">
        <v>403661</v>
      </c>
      <c r="E16" s="20">
        <v>1572459</v>
      </c>
      <c r="F16" s="20">
        <v>2205508</v>
      </c>
      <c r="G16" s="43">
        <v>287363</v>
      </c>
    </row>
    <row r="17" spans="1:7" x14ac:dyDescent="0.2">
      <c r="A17" s="42" t="s">
        <v>156</v>
      </c>
      <c r="B17" s="20">
        <v>19185</v>
      </c>
      <c r="C17" s="20">
        <v>18927</v>
      </c>
      <c r="D17" s="20">
        <v>33306</v>
      </c>
      <c r="E17" s="20">
        <v>129742</v>
      </c>
      <c r="F17" s="20">
        <v>181975</v>
      </c>
      <c r="G17" s="43">
        <v>23710</v>
      </c>
    </row>
    <row r="18" spans="1:7" x14ac:dyDescent="0.2">
      <c r="A18" s="42" t="s">
        <v>157</v>
      </c>
      <c r="B18" s="20">
        <v>33078</v>
      </c>
      <c r="C18" s="20">
        <v>32825</v>
      </c>
      <c r="D18" s="20">
        <v>57764</v>
      </c>
      <c r="E18" s="20">
        <v>225019</v>
      </c>
      <c r="F18" s="20">
        <v>315608</v>
      </c>
      <c r="G18" s="43">
        <v>41122</v>
      </c>
    </row>
    <row r="19" spans="1:7" x14ac:dyDescent="0.2">
      <c r="A19" s="42" t="s">
        <v>158</v>
      </c>
      <c r="B19" s="20">
        <v>189483</v>
      </c>
      <c r="C19" s="20">
        <v>188639</v>
      </c>
      <c r="D19" s="20">
        <v>331954</v>
      </c>
      <c r="E19" s="20">
        <v>1293125</v>
      </c>
      <c r="F19" s="20">
        <v>1813718</v>
      </c>
      <c r="G19" s="43">
        <v>236316</v>
      </c>
    </row>
    <row r="20" spans="1:7" x14ac:dyDescent="0.2">
      <c r="A20" s="42" t="s">
        <v>159</v>
      </c>
      <c r="B20" s="20">
        <v>126122</v>
      </c>
      <c r="C20" s="20">
        <v>127977</v>
      </c>
      <c r="D20" s="20">
        <v>225205</v>
      </c>
      <c r="E20" s="20">
        <v>877286</v>
      </c>
      <c r="F20" s="20">
        <v>1230468</v>
      </c>
      <c r="G20" s="43">
        <v>160322</v>
      </c>
    </row>
    <row r="21" spans="1:7" x14ac:dyDescent="0.2">
      <c r="A21" s="42" t="s">
        <v>160</v>
      </c>
      <c r="B21" s="20">
        <v>51041</v>
      </c>
      <c r="C21" s="20">
        <v>53907</v>
      </c>
      <c r="D21" s="20">
        <v>94863</v>
      </c>
      <c r="E21" s="20">
        <v>369537</v>
      </c>
      <c r="F21" s="20">
        <v>518307</v>
      </c>
      <c r="G21" s="43">
        <v>67532</v>
      </c>
    </row>
    <row r="22" spans="1:7" x14ac:dyDescent="0.2">
      <c r="A22" s="42" t="s">
        <v>161</v>
      </c>
      <c r="B22" s="20">
        <v>49237</v>
      </c>
      <c r="C22" s="20">
        <v>50673</v>
      </c>
      <c r="D22" s="20">
        <v>89171</v>
      </c>
      <c r="E22" s="20">
        <v>347364</v>
      </c>
      <c r="F22" s="20">
        <v>487208</v>
      </c>
      <c r="G22" s="43">
        <v>63480</v>
      </c>
    </row>
    <row r="23" spans="1:7" x14ac:dyDescent="0.2">
      <c r="A23" s="42" t="s">
        <v>162</v>
      </c>
      <c r="B23" s="20">
        <v>108392</v>
      </c>
      <c r="C23" s="20">
        <v>111360</v>
      </c>
      <c r="D23" s="20">
        <v>195963</v>
      </c>
      <c r="E23" s="20">
        <v>763372</v>
      </c>
      <c r="F23" s="20">
        <v>1070695</v>
      </c>
      <c r="G23" s="43">
        <v>139504</v>
      </c>
    </row>
    <row r="24" spans="1:7" x14ac:dyDescent="0.2">
      <c r="A24" s="42" t="s">
        <v>163</v>
      </c>
      <c r="B24" s="20">
        <v>108136</v>
      </c>
      <c r="C24" s="20">
        <v>112699</v>
      </c>
      <c r="D24" s="20">
        <v>198320</v>
      </c>
      <c r="E24" s="20">
        <v>772554</v>
      </c>
      <c r="F24" s="20">
        <v>1083573</v>
      </c>
      <c r="G24" s="43">
        <v>141182</v>
      </c>
    </row>
    <row r="25" spans="1:7" x14ac:dyDescent="0.2">
      <c r="A25" s="42" t="s">
        <v>164</v>
      </c>
      <c r="B25" s="20">
        <v>17527</v>
      </c>
      <c r="C25" s="20">
        <v>17336</v>
      </c>
      <c r="D25" s="20">
        <v>30506</v>
      </c>
      <c r="E25" s="20">
        <v>118837</v>
      </c>
      <c r="F25" s="20">
        <v>166679</v>
      </c>
      <c r="G25" s="43">
        <v>21717</v>
      </c>
    </row>
    <row r="26" spans="1:7" x14ac:dyDescent="0.2">
      <c r="A26" s="42" t="s">
        <v>165</v>
      </c>
      <c r="B26" s="20">
        <v>73319</v>
      </c>
      <c r="C26" s="20">
        <v>73221</v>
      </c>
      <c r="D26" s="20">
        <v>128849</v>
      </c>
      <c r="E26" s="20">
        <v>501932</v>
      </c>
      <c r="F26" s="20">
        <v>704002</v>
      </c>
      <c r="G26" s="43">
        <v>91727</v>
      </c>
    </row>
    <row r="27" spans="1:7" x14ac:dyDescent="0.2">
      <c r="A27" s="42" t="s">
        <v>166</v>
      </c>
      <c r="B27" s="20">
        <v>73122</v>
      </c>
      <c r="C27" s="20">
        <v>74477</v>
      </c>
      <c r="D27" s="20">
        <v>131060</v>
      </c>
      <c r="E27" s="20">
        <v>510544</v>
      </c>
      <c r="F27" s="20">
        <v>716081</v>
      </c>
      <c r="G27" s="43">
        <v>93301</v>
      </c>
    </row>
    <row r="28" spans="1:7" x14ac:dyDescent="0.2">
      <c r="A28" s="42" t="s">
        <v>167</v>
      </c>
      <c r="B28" s="20">
        <v>161447</v>
      </c>
      <c r="C28" s="20">
        <v>166000</v>
      </c>
      <c r="D28" s="20">
        <v>292115</v>
      </c>
      <c r="E28" s="20">
        <v>1137933</v>
      </c>
      <c r="F28" s="20">
        <v>1596048</v>
      </c>
      <c r="G28" s="43">
        <v>207954</v>
      </c>
    </row>
    <row r="29" spans="1:7" x14ac:dyDescent="0.2">
      <c r="A29" s="42" t="s">
        <v>168</v>
      </c>
      <c r="B29" s="20">
        <v>77038</v>
      </c>
      <c r="C29" s="20">
        <v>76803</v>
      </c>
      <c r="D29" s="20">
        <v>135153</v>
      </c>
      <c r="E29" s="20">
        <v>526489</v>
      </c>
      <c r="F29" s="20">
        <v>738445</v>
      </c>
      <c r="G29" s="43">
        <v>96215</v>
      </c>
    </row>
    <row r="30" spans="1:7" x14ac:dyDescent="0.2">
      <c r="A30" s="42" t="s">
        <v>169</v>
      </c>
      <c r="B30" s="20">
        <v>75414</v>
      </c>
      <c r="C30" s="20">
        <v>75685</v>
      </c>
      <c r="D30" s="20">
        <v>133185</v>
      </c>
      <c r="E30" s="20">
        <v>518821</v>
      </c>
      <c r="F30" s="20">
        <v>727691</v>
      </c>
      <c r="G30" s="43">
        <v>94813</v>
      </c>
    </row>
    <row r="31" spans="1:7" x14ac:dyDescent="0.2">
      <c r="A31" s="42" t="s">
        <v>170</v>
      </c>
      <c r="B31" s="20">
        <v>106474</v>
      </c>
      <c r="C31" s="20">
        <v>105218</v>
      </c>
      <c r="D31" s="20">
        <v>185156</v>
      </c>
      <c r="E31" s="20">
        <v>721273</v>
      </c>
      <c r="F31" s="20">
        <v>1011647</v>
      </c>
      <c r="G31" s="43">
        <v>131811</v>
      </c>
    </row>
    <row r="32" spans="1:7" x14ac:dyDescent="0.2">
      <c r="A32" s="42" t="s">
        <v>171</v>
      </c>
      <c r="B32" s="20">
        <v>16183</v>
      </c>
      <c r="C32" s="20">
        <v>16127</v>
      </c>
      <c r="D32" s="20">
        <v>28380</v>
      </c>
      <c r="E32" s="20">
        <v>110553</v>
      </c>
      <c r="F32" s="20">
        <v>155060</v>
      </c>
      <c r="G32" s="43">
        <v>20203</v>
      </c>
    </row>
    <row r="33" spans="1:7" x14ac:dyDescent="0.2">
      <c r="A33" s="42" t="s">
        <v>172</v>
      </c>
      <c r="B33" s="20">
        <v>32125</v>
      </c>
      <c r="C33" s="20">
        <v>33899</v>
      </c>
      <c r="D33" s="20">
        <v>59653</v>
      </c>
      <c r="E33" s="20">
        <v>232380</v>
      </c>
      <c r="F33" s="20">
        <v>325932</v>
      </c>
      <c r="G33" s="43">
        <v>42467</v>
      </c>
    </row>
    <row r="34" spans="1:7" x14ac:dyDescent="0.2">
      <c r="A34" s="42" t="s">
        <v>173</v>
      </c>
      <c r="B34" s="20">
        <v>52685</v>
      </c>
      <c r="C34" s="20">
        <v>52693</v>
      </c>
      <c r="D34" s="20">
        <v>92726</v>
      </c>
      <c r="E34" s="20">
        <v>361213</v>
      </c>
      <c r="F34" s="20">
        <v>506632</v>
      </c>
      <c r="G34" s="43">
        <v>66011</v>
      </c>
    </row>
    <row r="35" spans="1:7" x14ac:dyDescent="0.2">
      <c r="A35" s="42" t="s">
        <v>174</v>
      </c>
      <c r="B35" s="20">
        <v>11199</v>
      </c>
      <c r="C35" s="20">
        <v>11290</v>
      </c>
      <c r="D35" s="20">
        <v>19868</v>
      </c>
      <c r="E35" s="20">
        <v>77394</v>
      </c>
      <c r="F35" s="20">
        <v>108552</v>
      </c>
      <c r="G35" s="43">
        <v>14144</v>
      </c>
    </row>
    <row r="36" spans="1:7" x14ac:dyDescent="0.2">
      <c r="A36" s="42" t="s">
        <v>175</v>
      </c>
      <c r="B36" s="20">
        <v>100898</v>
      </c>
      <c r="C36" s="20">
        <v>101287</v>
      </c>
      <c r="D36" s="20">
        <v>178239</v>
      </c>
      <c r="E36" s="20">
        <v>694328</v>
      </c>
      <c r="F36" s="20">
        <v>973854</v>
      </c>
      <c r="G36" s="43">
        <v>126887</v>
      </c>
    </row>
    <row r="37" spans="1:7" x14ac:dyDescent="0.2">
      <c r="A37" s="42" t="s">
        <v>176</v>
      </c>
      <c r="B37" s="20">
        <v>47111</v>
      </c>
      <c r="C37" s="20">
        <v>46688</v>
      </c>
      <c r="D37" s="20">
        <v>82158</v>
      </c>
      <c r="E37" s="20">
        <v>320048</v>
      </c>
      <c r="F37" s="20">
        <v>448894</v>
      </c>
      <c r="G37" s="43">
        <v>58488</v>
      </c>
    </row>
    <row r="38" spans="1:7" x14ac:dyDescent="0.2">
      <c r="A38" s="42" t="s">
        <v>177</v>
      </c>
      <c r="B38" s="20">
        <v>261832</v>
      </c>
      <c r="C38" s="20">
        <v>266397</v>
      </c>
      <c r="D38" s="20">
        <v>468788</v>
      </c>
      <c r="E38" s="20">
        <v>1826160</v>
      </c>
      <c r="F38" s="20">
        <v>2561345</v>
      </c>
      <c r="G38" s="43">
        <v>333726</v>
      </c>
    </row>
    <row r="39" spans="1:7" x14ac:dyDescent="0.2">
      <c r="A39" s="42" t="s">
        <v>178</v>
      </c>
      <c r="B39" s="20">
        <v>189028</v>
      </c>
      <c r="C39" s="20">
        <v>190889</v>
      </c>
      <c r="D39" s="20">
        <v>335912</v>
      </c>
      <c r="E39" s="20">
        <v>1308545</v>
      </c>
      <c r="F39" s="20">
        <v>1835346</v>
      </c>
      <c r="G39" s="43">
        <v>239134</v>
      </c>
    </row>
    <row r="40" spans="1:7" x14ac:dyDescent="0.2">
      <c r="A40" s="42" t="s">
        <v>179</v>
      </c>
      <c r="B40" s="20">
        <v>9661</v>
      </c>
      <c r="C40" s="20">
        <v>11052</v>
      </c>
      <c r="D40" s="20">
        <v>19448</v>
      </c>
      <c r="E40" s="20">
        <v>75760</v>
      </c>
      <c r="F40" s="20">
        <v>106260</v>
      </c>
      <c r="G40" s="43">
        <v>13845</v>
      </c>
    </row>
    <row r="41" spans="1:7" x14ac:dyDescent="0.2">
      <c r="A41" s="42" t="s">
        <v>180</v>
      </c>
      <c r="B41" s="20">
        <v>187915</v>
      </c>
      <c r="C41" s="20">
        <v>189480</v>
      </c>
      <c r="D41" s="20">
        <v>333434</v>
      </c>
      <c r="E41" s="20">
        <v>1298889</v>
      </c>
      <c r="F41" s="20">
        <v>1821803</v>
      </c>
      <c r="G41" s="43">
        <v>237369</v>
      </c>
    </row>
    <row r="42" spans="1:7" x14ac:dyDescent="0.2">
      <c r="A42" s="42" t="s">
        <v>181</v>
      </c>
      <c r="B42" s="20">
        <v>80014</v>
      </c>
      <c r="C42" s="20">
        <v>85968</v>
      </c>
      <c r="D42" s="20">
        <v>151281</v>
      </c>
      <c r="E42" s="20">
        <v>589315</v>
      </c>
      <c r="F42" s="20">
        <v>826564</v>
      </c>
      <c r="G42" s="43">
        <v>107696</v>
      </c>
    </row>
    <row r="43" spans="1:7" x14ac:dyDescent="0.2">
      <c r="A43" s="42" t="s">
        <v>182</v>
      </c>
      <c r="B43" s="20">
        <v>61756</v>
      </c>
      <c r="C43" s="20">
        <v>58967</v>
      </c>
      <c r="D43" s="20">
        <v>103766</v>
      </c>
      <c r="E43" s="20">
        <v>404221</v>
      </c>
      <c r="F43" s="20">
        <v>566954</v>
      </c>
      <c r="G43" s="43">
        <v>73870</v>
      </c>
    </row>
    <row r="44" spans="1:7" x14ac:dyDescent="0.2">
      <c r="A44" s="42" t="s">
        <v>183</v>
      </c>
      <c r="B44" s="20">
        <v>170246</v>
      </c>
      <c r="C44" s="20">
        <v>172670</v>
      </c>
      <c r="D44" s="20">
        <v>303852</v>
      </c>
      <c r="E44" s="20">
        <v>1183656</v>
      </c>
      <c r="F44" s="20">
        <v>1660178</v>
      </c>
      <c r="G44" s="43">
        <v>216310</v>
      </c>
    </row>
    <row r="45" spans="1:7" x14ac:dyDescent="0.2">
      <c r="A45" s="42" t="s">
        <v>184</v>
      </c>
      <c r="B45" s="20">
        <v>13066</v>
      </c>
      <c r="C45" s="20">
        <v>13563</v>
      </c>
      <c r="D45" s="20">
        <v>23867</v>
      </c>
      <c r="E45" s="20">
        <v>92975</v>
      </c>
      <c r="F45" s="20">
        <v>130405</v>
      </c>
      <c r="G45" s="43">
        <v>16991</v>
      </c>
    </row>
    <row r="46" spans="1:7" x14ac:dyDescent="0.2">
      <c r="A46" s="42" t="s">
        <v>185</v>
      </c>
      <c r="B46" s="20">
        <v>101832</v>
      </c>
      <c r="C46" s="20">
        <v>103428</v>
      </c>
      <c r="D46" s="20">
        <v>182005</v>
      </c>
      <c r="E46" s="20">
        <v>708999</v>
      </c>
      <c r="F46" s="20">
        <v>994432</v>
      </c>
      <c r="G46" s="43">
        <v>129568</v>
      </c>
    </row>
    <row r="47" spans="1:7" x14ac:dyDescent="0.2">
      <c r="A47" s="42" t="s">
        <v>186</v>
      </c>
      <c r="B47" s="20">
        <v>14434</v>
      </c>
      <c r="C47" s="20">
        <v>14662</v>
      </c>
      <c r="D47" s="20">
        <v>25802</v>
      </c>
      <c r="E47" s="20">
        <v>100511</v>
      </c>
      <c r="F47" s="20">
        <v>140975</v>
      </c>
      <c r="G47" s="43">
        <v>18368</v>
      </c>
    </row>
    <row r="48" spans="1:7" x14ac:dyDescent="0.2">
      <c r="A48" s="42" t="s">
        <v>187</v>
      </c>
      <c r="B48" s="20">
        <v>131824</v>
      </c>
      <c r="C48" s="20">
        <v>131346</v>
      </c>
      <c r="D48" s="20">
        <v>231134</v>
      </c>
      <c r="E48" s="20">
        <v>900382</v>
      </c>
      <c r="F48" s="20">
        <v>1262862</v>
      </c>
      <c r="G48" s="43">
        <v>164543</v>
      </c>
    </row>
    <row r="49" spans="1:7" x14ac:dyDescent="0.2">
      <c r="A49" s="42" t="s">
        <v>188</v>
      </c>
      <c r="B49" s="20">
        <v>594694</v>
      </c>
      <c r="C49" s="20">
        <v>645411</v>
      </c>
      <c r="D49" s="20">
        <v>1135749</v>
      </c>
      <c r="E49" s="20">
        <v>4424304</v>
      </c>
      <c r="F49" s="20">
        <v>6205464</v>
      </c>
      <c r="G49" s="43">
        <v>808531</v>
      </c>
    </row>
    <row r="50" spans="1:7" x14ac:dyDescent="0.2">
      <c r="A50" s="42" t="s">
        <v>189</v>
      </c>
      <c r="B50" s="20">
        <v>64668</v>
      </c>
      <c r="C50" s="20">
        <v>61924</v>
      </c>
      <c r="D50" s="20">
        <v>108969</v>
      </c>
      <c r="E50" s="20">
        <v>424490</v>
      </c>
      <c r="F50" s="20">
        <v>595383</v>
      </c>
      <c r="G50" s="43">
        <v>77574</v>
      </c>
    </row>
    <row r="51" spans="1:7" x14ac:dyDescent="0.2">
      <c r="A51" s="42" t="s">
        <v>190</v>
      </c>
      <c r="B51" s="20">
        <v>7057</v>
      </c>
      <c r="C51" s="20">
        <v>6949</v>
      </c>
      <c r="D51" s="20">
        <v>12228</v>
      </c>
      <c r="E51" s="20">
        <v>47635</v>
      </c>
      <c r="F51" s="20">
        <v>66812</v>
      </c>
      <c r="G51" s="43">
        <v>8705</v>
      </c>
    </row>
    <row r="52" spans="1:7" x14ac:dyDescent="0.2">
      <c r="A52" s="42" t="s">
        <v>191</v>
      </c>
      <c r="B52" s="20">
        <v>113285</v>
      </c>
      <c r="C52" s="20">
        <v>115752</v>
      </c>
      <c r="D52" s="20">
        <v>203692</v>
      </c>
      <c r="E52" s="20">
        <v>793482</v>
      </c>
      <c r="F52" s="20">
        <v>1112926</v>
      </c>
      <c r="G52" s="43">
        <v>145007</v>
      </c>
    </row>
    <row r="53" spans="1:7" x14ac:dyDescent="0.2">
      <c r="A53" s="42" t="s">
        <v>192</v>
      </c>
      <c r="B53" s="20">
        <v>93857</v>
      </c>
      <c r="C53" s="20">
        <v>92293</v>
      </c>
      <c r="D53" s="20">
        <v>162411</v>
      </c>
      <c r="E53" s="20">
        <v>632672</v>
      </c>
      <c r="F53" s="20">
        <v>887376</v>
      </c>
      <c r="G53" s="43">
        <v>115619</v>
      </c>
    </row>
    <row r="54" spans="1:7" x14ac:dyDescent="0.2">
      <c r="A54" s="42" t="s">
        <v>193</v>
      </c>
      <c r="B54" s="20">
        <v>37061</v>
      </c>
      <c r="C54" s="20">
        <v>37994</v>
      </c>
      <c r="D54" s="20">
        <v>66858</v>
      </c>
      <c r="E54" s="20">
        <v>260446</v>
      </c>
      <c r="F54" s="20">
        <v>365298</v>
      </c>
      <c r="G54" s="43">
        <v>47596</v>
      </c>
    </row>
    <row r="55" spans="1:7" x14ac:dyDescent="0.2">
      <c r="A55" s="42" t="s">
        <v>194</v>
      </c>
      <c r="B55" s="20">
        <v>82629</v>
      </c>
      <c r="C55" s="20">
        <v>84575</v>
      </c>
      <c r="D55" s="20">
        <v>148830</v>
      </c>
      <c r="E55" s="20">
        <v>579766</v>
      </c>
      <c r="F55" s="20">
        <v>813171</v>
      </c>
      <c r="G55" s="43">
        <v>105951</v>
      </c>
    </row>
    <row r="56" spans="1:7" x14ac:dyDescent="0.2">
      <c r="A56" s="42" t="s">
        <v>195</v>
      </c>
      <c r="B56" s="20">
        <v>6666</v>
      </c>
      <c r="C56" s="20">
        <v>6942</v>
      </c>
      <c r="D56" s="20">
        <v>12217</v>
      </c>
      <c r="E56" s="20">
        <v>47590</v>
      </c>
      <c r="F56" s="20">
        <v>66749</v>
      </c>
      <c r="G56" s="43">
        <v>8697</v>
      </c>
    </row>
    <row r="57" spans="1:7" x14ac:dyDescent="0.2">
      <c r="A57" s="42" t="s">
        <v>196</v>
      </c>
      <c r="B57" s="20">
        <v>7417</v>
      </c>
      <c r="C57" s="20">
        <v>7525</v>
      </c>
      <c r="D57" s="20">
        <v>12731</v>
      </c>
      <c r="E57" s="20">
        <v>49607</v>
      </c>
      <c r="F57" s="20">
        <v>69863</v>
      </c>
      <c r="G57" s="43">
        <v>9392</v>
      </c>
    </row>
    <row r="58" spans="1:7" x14ac:dyDescent="0.2">
      <c r="A58" s="42" t="s">
        <v>197</v>
      </c>
      <c r="B58" s="20">
        <v>10688</v>
      </c>
      <c r="C58" s="20">
        <v>10844</v>
      </c>
      <c r="D58" s="20">
        <v>18345</v>
      </c>
      <c r="E58" s="20">
        <v>71480</v>
      </c>
      <c r="F58" s="20">
        <v>100669</v>
      </c>
      <c r="G58" s="43">
        <v>13533</v>
      </c>
    </row>
    <row r="59" spans="1:7" x14ac:dyDescent="0.2">
      <c r="A59" s="42" t="s">
        <v>198</v>
      </c>
      <c r="B59" s="20">
        <v>5416</v>
      </c>
      <c r="C59" s="20">
        <v>5495</v>
      </c>
      <c r="D59" s="20">
        <v>9296</v>
      </c>
      <c r="E59" s="20">
        <v>36220</v>
      </c>
      <c r="F59" s="20">
        <v>51011</v>
      </c>
      <c r="G59" s="43">
        <v>6857</v>
      </c>
    </row>
    <row r="60" spans="1:7" x14ac:dyDescent="0.2">
      <c r="A60" s="42" t="s">
        <v>199</v>
      </c>
      <c r="B60" s="20">
        <v>49537</v>
      </c>
      <c r="C60" s="20">
        <v>44720</v>
      </c>
      <c r="D60" s="20">
        <v>78696</v>
      </c>
      <c r="E60" s="20">
        <v>306559</v>
      </c>
      <c r="F60" s="20">
        <v>429975</v>
      </c>
      <c r="G60" s="43">
        <v>56023</v>
      </c>
    </row>
    <row r="61" spans="1:7" x14ac:dyDescent="0.2">
      <c r="A61" s="42" t="s">
        <v>200</v>
      </c>
      <c r="B61" s="20">
        <v>0</v>
      </c>
      <c r="C61" s="20">
        <v>0</v>
      </c>
      <c r="D61" s="20">
        <v>0</v>
      </c>
      <c r="E61" s="20">
        <v>0</v>
      </c>
      <c r="F61" s="20">
        <v>0</v>
      </c>
      <c r="G61" s="43">
        <v>0</v>
      </c>
    </row>
    <row r="62" spans="1:7" x14ac:dyDescent="0.2">
      <c r="A62" s="42" t="s">
        <v>201</v>
      </c>
      <c r="B62" s="20">
        <v>5610</v>
      </c>
      <c r="C62" s="20">
        <v>5692</v>
      </c>
      <c r="D62" s="20">
        <v>9629</v>
      </c>
      <c r="E62" s="20">
        <v>37518</v>
      </c>
      <c r="F62" s="20">
        <v>52839</v>
      </c>
      <c r="G62" s="43">
        <v>7103</v>
      </c>
    </row>
    <row r="63" spans="1:7" x14ac:dyDescent="0.2">
      <c r="A63" s="42" t="s">
        <v>202</v>
      </c>
      <c r="B63" s="20">
        <v>334995</v>
      </c>
      <c r="C63" s="20">
        <v>339883</v>
      </c>
      <c r="D63" s="20">
        <v>275000</v>
      </c>
      <c r="E63" s="20">
        <v>1168950</v>
      </c>
      <c r="F63" s="20">
        <v>1783833</v>
      </c>
      <c r="G63" s="43">
        <v>398640</v>
      </c>
    </row>
    <row r="64" spans="1:7" x14ac:dyDescent="0.2">
      <c r="A64" s="42" t="s">
        <v>203</v>
      </c>
      <c r="B64" s="20">
        <v>0</v>
      </c>
      <c r="C64" s="20">
        <v>0</v>
      </c>
      <c r="D64" s="20">
        <v>0</v>
      </c>
      <c r="E64" s="20">
        <v>0</v>
      </c>
      <c r="F64" s="20">
        <v>0</v>
      </c>
      <c r="G64" s="43">
        <v>0</v>
      </c>
    </row>
    <row r="65" spans="1:7" ht="15" customHeight="1" x14ac:dyDescent="0.2">
      <c r="A65" s="44" t="s">
        <v>204</v>
      </c>
      <c r="B65" s="45">
        <v>5766240</v>
      </c>
      <c r="C65" s="45">
        <v>5850390</v>
      </c>
      <c r="D65" s="45">
        <v>9970001</v>
      </c>
      <c r="E65" s="45">
        <v>38935831</v>
      </c>
      <c r="F65" s="45">
        <v>54756222</v>
      </c>
      <c r="G65" s="51">
        <v>7301730</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223</v>
      </c>
    </row>
    <row r="2" spans="1:7" x14ac:dyDescent="0.2">
      <c r="A2" s="17" t="s">
        <v>340</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16442</v>
      </c>
      <c r="C6" s="20">
        <v>16442</v>
      </c>
      <c r="D6" s="20">
        <v>0</v>
      </c>
      <c r="E6" s="20">
        <v>0</v>
      </c>
      <c r="F6" s="20">
        <v>16442</v>
      </c>
      <c r="G6" s="43">
        <v>16442</v>
      </c>
    </row>
    <row r="7" spans="1:7" x14ac:dyDescent="0.2">
      <c r="A7" s="42" t="s">
        <v>146</v>
      </c>
      <c r="B7" s="20">
        <v>3545</v>
      </c>
      <c r="C7" s="20">
        <v>3545</v>
      </c>
      <c r="D7" s="20">
        <v>0</v>
      </c>
      <c r="E7" s="20">
        <v>0</v>
      </c>
      <c r="F7" s="20">
        <v>3545</v>
      </c>
      <c r="G7" s="43">
        <v>3545</v>
      </c>
    </row>
    <row r="8" spans="1:7" x14ac:dyDescent="0.2">
      <c r="A8" s="42" t="s">
        <v>147</v>
      </c>
      <c r="B8" s="20">
        <v>19827</v>
      </c>
      <c r="C8" s="20">
        <v>19827</v>
      </c>
      <c r="D8" s="20">
        <v>0</v>
      </c>
      <c r="E8" s="20">
        <v>0</v>
      </c>
      <c r="F8" s="20">
        <v>19827</v>
      </c>
      <c r="G8" s="43">
        <v>19827</v>
      </c>
    </row>
    <row r="9" spans="1:7" x14ac:dyDescent="0.2">
      <c r="A9" s="42" t="s">
        <v>148</v>
      </c>
      <c r="B9" s="20">
        <v>5300</v>
      </c>
      <c r="C9" s="20">
        <v>5300</v>
      </c>
      <c r="D9" s="20">
        <v>0</v>
      </c>
      <c r="E9" s="20">
        <v>0</v>
      </c>
      <c r="F9" s="20">
        <v>5300</v>
      </c>
      <c r="G9" s="43">
        <v>5300</v>
      </c>
    </row>
    <row r="10" spans="1:7" x14ac:dyDescent="0.2">
      <c r="A10" s="42" t="s">
        <v>149</v>
      </c>
      <c r="B10" s="20">
        <v>85593</v>
      </c>
      <c r="C10" s="20">
        <v>85593</v>
      </c>
      <c r="D10" s="20">
        <v>0</v>
      </c>
      <c r="E10" s="20">
        <v>0</v>
      </c>
      <c r="F10" s="20">
        <v>85593</v>
      </c>
      <c r="G10" s="43">
        <v>85593</v>
      </c>
    </row>
    <row r="11" spans="1:7" x14ac:dyDescent="0.2">
      <c r="A11" s="42" t="s">
        <v>150</v>
      </c>
      <c r="B11" s="20">
        <v>10174</v>
      </c>
      <c r="C11" s="20">
        <v>10174</v>
      </c>
      <c r="D11" s="20">
        <v>0</v>
      </c>
      <c r="E11" s="20">
        <v>0</v>
      </c>
      <c r="F11" s="20">
        <v>10174</v>
      </c>
      <c r="G11" s="43">
        <v>10174</v>
      </c>
    </row>
    <row r="12" spans="1:7" x14ac:dyDescent="0.2">
      <c r="A12" s="42" t="s">
        <v>151</v>
      </c>
      <c r="B12" s="20">
        <v>18738</v>
      </c>
      <c r="C12" s="20">
        <v>18738</v>
      </c>
      <c r="D12" s="20">
        <v>0</v>
      </c>
      <c r="E12" s="20">
        <v>0</v>
      </c>
      <c r="F12" s="20">
        <v>18738</v>
      </c>
      <c r="G12" s="43">
        <v>18738</v>
      </c>
    </row>
    <row r="13" spans="1:7" x14ac:dyDescent="0.2">
      <c r="A13" s="42" t="s">
        <v>152</v>
      </c>
      <c r="B13" s="20">
        <v>5179</v>
      </c>
      <c r="C13" s="20">
        <v>5179</v>
      </c>
      <c r="D13" s="20">
        <v>0</v>
      </c>
      <c r="E13" s="20">
        <v>0</v>
      </c>
      <c r="F13" s="20">
        <v>5179</v>
      </c>
      <c r="G13" s="43">
        <v>5179</v>
      </c>
    </row>
    <row r="14" spans="1:7" x14ac:dyDescent="0.2">
      <c r="A14" s="42" t="s">
        <v>153</v>
      </c>
      <c r="B14" s="20">
        <v>4567</v>
      </c>
      <c r="C14" s="20">
        <v>4567</v>
      </c>
      <c r="D14" s="20">
        <v>0</v>
      </c>
      <c r="E14" s="20">
        <v>0</v>
      </c>
      <c r="F14" s="20">
        <v>4567</v>
      </c>
      <c r="G14" s="43">
        <v>4567</v>
      </c>
    </row>
    <row r="15" spans="1:7" x14ac:dyDescent="0.2">
      <c r="A15" s="42" t="s">
        <v>154</v>
      </c>
      <c r="B15" s="20">
        <v>43026</v>
      </c>
      <c r="C15" s="20">
        <v>43026</v>
      </c>
      <c r="D15" s="20">
        <v>0</v>
      </c>
      <c r="E15" s="20">
        <v>0</v>
      </c>
      <c r="F15" s="20">
        <v>43026</v>
      </c>
      <c r="G15" s="43">
        <v>43026</v>
      </c>
    </row>
    <row r="16" spans="1:7" x14ac:dyDescent="0.2">
      <c r="A16" s="42" t="s">
        <v>155</v>
      </c>
      <c r="B16" s="20">
        <v>36548</v>
      </c>
      <c r="C16" s="20">
        <v>36548</v>
      </c>
      <c r="D16" s="20">
        <v>0</v>
      </c>
      <c r="E16" s="20">
        <v>0</v>
      </c>
      <c r="F16" s="20">
        <v>36548</v>
      </c>
      <c r="G16" s="43">
        <v>36548</v>
      </c>
    </row>
    <row r="17" spans="1:7" x14ac:dyDescent="0.2">
      <c r="A17" s="42" t="s">
        <v>156</v>
      </c>
      <c r="B17" s="20">
        <v>4972</v>
      </c>
      <c r="C17" s="20">
        <v>4972</v>
      </c>
      <c r="D17" s="20">
        <v>0</v>
      </c>
      <c r="E17" s="20">
        <v>0</v>
      </c>
      <c r="F17" s="20">
        <v>4972</v>
      </c>
      <c r="G17" s="43">
        <v>4972</v>
      </c>
    </row>
    <row r="18" spans="1:7" x14ac:dyDescent="0.2">
      <c r="A18" s="42" t="s">
        <v>157</v>
      </c>
      <c r="B18" s="20">
        <v>2868</v>
      </c>
      <c r="C18" s="20">
        <v>2868</v>
      </c>
      <c r="D18" s="20">
        <v>0</v>
      </c>
      <c r="E18" s="20">
        <v>0</v>
      </c>
      <c r="F18" s="20">
        <v>2868</v>
      </c>
      <c r="G18" s="43">
        <v>2868</v>
      </c>
    </row>
    <row r="19" spans="1:7" x14ac:dyDescent="0.2">
      <c r="A19" s="42" t="s">
        <v>158</v>
      </c>
      <c r="B19" s="20">
        <v>56874</v>
      </c>
      <c r="C19" s="20">
        <v>56874</v>
      </c>
      <c r="D19" s="20">
        <v>0</v>
      </c>
      <c r="E19" s="20">
        <v>0</v>
      </c>
      <c r="F19" s="20">
        <v>56874</v>
      </c>
      <c r="G19" s="43">
        <v>56874</v>
      </c>
    </row>
    <row r="20" spans="1:7" x14ac:dyDescent="0.2">
      <c r="A20" s="42" t="s">
        <v>159</v>
      </c>
      <c r="B20" s="20">
        <v>26182</v>
      </c>
      <c r="C20" s="20">
        <v>26182</v>
      </c>
      <c r="D20" s="20">
        <v>0</v>
      </c>
      <c r="E20" s="20">
        <v>0</v>
      </c>
      <c r="F20" s="20">
        <v>26182</v>
      </c>
      <c r="G20" s="43">
        <v>26182</v>
      </c>
    </row>
    <row r="21" spans="1:7" x14ac:dyDescent="0.2">
      <c r="A21" s="42" t="s">
        <v>160</v>
      </c>
      <c r="B21" s="20">
        <v>8508</v>
      </c>
      <c r="C21" s="20">
        <v>8508</v>
      </c>
      <c r="D21" s="20">
        <v>0</v>
      </c>
      <c r="E21" s="20">
        <v>0</v>
      </c>
      <c r="F21" s="20">
        <v>8508</v>
      </c>
      <c r="G21" s="43">
        <v>8508</v>
      </c>
    </row>
    <row r="22" spans="1:7" x14ac:dyDescent="0.2">
      <c r="A22" s="42" t="s">
        <v>161</v>
      </c>
      <c r="B22" s="20">
        <v>9812</v>
      </c>
      <c r="C22" s="20">
        <v>9812</v>
      </c>
      <c r="D22" s="20">
        <v>0</v>
      </c>
      <c r="E22" s="20">
        <v>0</v>
      </c>
      <c r="F22" s="20">
        <v>9812</v>
      </c>
      <c r="G22" s="43">
        <v>9812</v>
      </c>
    </row>
    <row r="23" spans="1:7" x14ac:dyDescent="0.2">
      <c r="A23" s="42" t="s">
        <v>162</v>
      </c>
      <c r="B23" s="20">
        <v>16702</v>
      </c>
      <c r="C23" s="20">
        <v>16702</v>
      </c>
      <c r="D23" s="20">
        <v>0</v>
      </c>
      <c r="E23" s="20">
        <v>0</v>
      </c>
      <c r="F23" s="20">
        <v>16702</v>
      </c>
      <c r="G23" s="43">
        <v>16702</v>
      </c>
    </row>
    <row r="24" spans="1:7" x14ac:dyDescent="0.2">
      <c r="A24" s="42" t="s">
        <v>163</v>
      </c>
      <c r="B24" s="20">
        <v>13865</v>
      </c>
      <c r="C24" s="20">
        <v>13865</v>
      </c>
      <c r="D24" s="20">
        <v>0</v>
      </c>
      <c r="E24" s="20">
        <v>0</v>
      </c>
      <c r="F24" s="20">
        <v>13865</v>
      </c>
      <c r="G24" s="43">
        <v>13865</v>
      </c>
    </row>
    <row r="25" spans="1:7" x14ac:dyDescent="0.2">
      <c r="A25" s="42" t="s">
        <v>164</v>
      </c>
      <c r="B25" s="20">
        <v>3019</v>
      </c>
      <c r="C25" s="20">
        <v>3019</v>
      </c>
      <c r="D25" s="20">
        <v>0</v>
      </c>
      <c r="E25" s="20">
        <v>0</v>
      </c>
      <c r="F25" s="20">
        <v>3019</v>
      </c>
      <c r="G25" s="43">
        <v>3019</v>
      </c>
    </row>
    <row r="26" spans="1:7" x14ac:dyDescent="0.2">
      <c r="A26" s="42" t="s">
        <v>165</v>
      </c>
      <c r="B26" s="20">
        <v>23301</v>
      </c>
      <c r="C26" s="20">
        <v>23301</v>
      </c>
      <c r="D26" s="20">
        <v>0</v>
      </c>
      <c r="E26" s="20">
        <v>0</v>
      </c>
      <c r="F26" s="20">
        <v>23301</v>
      </c>
      <c r="G26" s="43">
        <v>23301</v>
      </c>
    </row>
    <row r="27" spans="1:7" x14ac:dyDescent="0.2">
      <c r="A27" s="42" t="s">
        <v>166</v>
      </c>
      <c r="B27" s="20">
        <v>44973</v>
      </c>
      <c r="C27" s="20">
        <v>44973</v>
      </c>
      <c r="D27" s="20">
        <v>0</v>
      </c>
      <c r="E27" s="20">
        <v>0</v>
      </c>
      <c r="F27" s="20">
        <v>44973</v>
      </c>
      <c r="G27" s="43">
        <v>44973</v>
      </c>
    </row>
    <row r="28" spans="1:7" x14ac:dyDescent="0.2">
      <c r="A28" s="42" t="s">
        <v>167</v>
      </c>
      <c r="B28" s="20">
        <v>32082</v>
      </c>
      <c r="C28" s="20">
        <v>32082</v>
      </c>
      <c r="D28" s="20">
        <v>0</v>
      </c>
      <c r="E28" s="20">
        <v>0</v>
      </c>
      <c r="F28" s="20">
        <v>32082</v>
      </c>
      <c r="G28" s="43">
        <v>32082</v>
      </c>
    </row>
    <row r="29" spans="1:7" x14ac:dyDescent="0.2">
      <c r="A29" s="42" t="s">
        <v>168</v>
      </c>
      <c r="B29" s="20">
        <v>23367</v>
      </c>
      <c r="C29" s="20">
        <v>23367</v>
      </c>
      <c r="D29" s="20">
        <v>0</v>
      </c>
      <c r="E29" s="20">
        <v>0</v>
      </c>
      <c r="F29" s="20">
        <v>23367</v>
      </c>
      <c r="G29" s="43">
        <v>23367</v>
      </c>
    </row>
    <row r="30" spans="1:7" x14ac:dyDescent="0.2">
      <c r="A30" s="42" t="s">
        <v>169</v>
      </c>
      <c r="B30" s="20">
        <v>6293</v>
      </c>
      <c r="C30" s="20">
        <v>6293</v>
      </c>
      <c r="D30" s="20">
        <v>0</v>
      </c>
      <c r="E30" s="20">
        <v>0</v>
      </c>
      <c r="F30" s="20">
        <v>6293</v>
      </c>
      <c r="G30" s="43">
        <v>6293</v>
      </c>
    </row>
    <row r="31" spans="1:7" x14ac:dyDescent="0.2">
      <c r="A31" s="42" t="s">
        <v>170</v>
      </c>
      <c r="B31" s="20">
        <v>24668</v>
      </c>
      <c r="C31" s="20">
        <v>24669</v>
      </c>
      <c r="D31" s="20">
        <v>0</v>
      </c>
      <c r="E31" s="20">
        <v>0</v>
      </c>
      <c r="F31" s="20">
        <v>24669</v>
      </c>
      <c r="G31" s="43">
        <v>24669</v>
      </c>
    </row>
    <row r="32" spans="1:7" x14ac:dyDescent="0.2">
      <c r="A32" s="42" t="s">
        <v>171</v>
      </c>
      <c r="B32" s="20">
        <v>3191</v>
      </c>
      <c r="C32" s="20">
        <v>3191</v>
      </c>
      <c r="D32" s="20">
        <v>0</v>
      </c>
      <c r="E32" s="20">
        <v>0</v>
      </c>
      <c r="F32" s="20">
        <v>3191</v>
      </c>
      <c r="G32" s="43">
        <v>3191</v>
      </c>
    </row>
    <row r="33" spans="1:7" x14ac:dyDescent="0.2">
      <c r="A33" s="42" t="s">
        <v>172</v>
      </c>
      <c r="B33" s="20">
        <v>10595</v>
      </c>
      <c r="C33" s="20">
        <v>10595</v>
      </c>
      <c r="D33" s="20">
        <v>0</v>
      </c>
      <c r="E33" s="20">
        <v>0</v>
      </c>
      <c r="F33" s="20">
        <v>10595</v>
      </c>
      <c r="G33" s="43">
        <v>10595</v>
      </c>
    </row>
    <row r="34" spans="1:7" x14ac:dyDescent="0.2">
      <c r="A34" s="42" t="s">
        <v>173</v>
      </c>
      <c r="B34" s="20">
        <v>2580</v>
      </c>
      <c r="C34" s="20">
        <v>2580</v>
      </c>
      <c r="D34" s="20">
        <v>0</v>
      </c>
      <c r="E34" s="20">
        <v>0</v>
      </c>
      <c r="F34" s="20">
        <v>2580</v>
      </c>
      <c r="G34" s="43">
        <v>2580</v>
      </c>
    </row>
    <row r="35" spans="1:7" x14ac:dyDescent="0.2">
      <c r="A35" s="42" t="s">
        <v>174</v>
      </c>
      <c r="B35" s="20">
        <v>4582</v>
      </c>
      <c r="C35" s="20">
        <v>4582</v>
      </c>
      <c r="D35" s="20">
        <v>0</v>
      </c>
      <c r="E35" s="20">
        <v>0</v>
      </c>
      <c r="F35" s="20">
        <v>4582</v>
      </c>
      <c r="G35" s="43">
        <v>4582</v>
      </c>
    </row>
    <row r="36" spans="1:7" x14ac:dyDescent="0.2">
      <c r="A36" s="42" t="s">
        <v>175</v>
      </c>
      <c r="B36" s="20">
        <v>26374</v>
      </c>
      <c r="C36" s="20">
        <v>26374</v>
      </c>
      <c r="D36" s="20">
        <v>0</v>
      </c>
      <c r="E36" s="20">
        <v>0</v>
      </c>
      <c r="F36" s="20">
        <v>26374</v>
      </c>
      <c r="G36" s="43">
        <v>26374</v>
      </c>
    </row>
    <row r="37" spans="1:7" x14ac:dyDescent="0.2">
      <c r="A37" s="42" t="s">
        <v>176</v>
      </c>
      <c r="B37" s="20">
        <v>8308</v>
      </c>
      <c r="C37" s="20">
        <v>8308</v>
      </c>
      <c r="D37" s="20">
        <v>0</v>
      </c>
      <c r="E37" s="20">
        <v>0</v>
      </c>
      <c r="F37" s="20">
        <v>8308</v>
      </c>
      <c r="G37" s="43">
        <v>8308</v>
      </c>
    </row>
    <row r="38" spans="1:7" x14ac:dyDescent="0.2">
      <c r="A38" s="42" t="s">
        <v>177</v>
      </c>
      <c r="B38" s="20">
        <v>101984</v>
      </c>
      <c r="C38" s="20">
        <v>101984</v>
      </c>
      <c r="D38" s="20">
        <v>0</v>
      </c>
      <c r="E38" s="20">
        <v>0</v>
      </c>
      <c r="F38" s="20">
        <v>101984</v>
      </c>
      <c r="G38" s="43">
        <v>101984</v>
      </c>
    </row>
    <row r="39" spans="1:7" x14ac:dyDescent="0.2">
      <c r="A39" s="42" t="s">
        <v>178</v>
      </c>
      <c r="B39" s="20">
        <v>69639</v>
      </c>
      <c r="C39" s="20">
        <v>69639</v>
      </c>
      <c r="D39" s="20">
        <v>0</v>
      </c>
      <c r="E39" s="20">
        <v>0</v>
      </c>
      <c r="F39" s="20">
        <v>69639</v>
      </c>
      <c r="G39" s="43">
        <v>69639</v>
      </c>
    </row>
    <row r="40" spans="1:7" x14ac:dyDescent="0.2">
      <c r="A40" s="42" t="s">
        <v>179</v>
      </c>
      <c r="B40" s="20">
        <v>2506</v>
      </c>
      <c r="C40" s="20">
        <v>2506</v>
      </c>
      <c r="D40" s="20">
        <v>0</v>
      </c>
      <c r="E40" s="20">
        <v>0</v>
      </c>
      <c r="F40" s="20">
        <v>2506</v>
      </c>
      <c r="G40" s="43">
        <v>2506</v>
      </c>
    </row>
    <row r="41" spans="1:7" x14ac:dyDescent="0.2">
      <c r="A41" s="42" t="s">
        <v>180</v>
      </c>
      <c r="B41" s="20">
        <v>70125</v>
      </c>
      <c r="C41" s="20">
        <v>70125</v>
      </c>
      <c r="D41" s="20">
        <v>0</v>
      </c>
      <c r="E41" s="20">
        <v>0</v>
      </c>
      <c r="F41" s="20">
        <v>70125</v>
      </c>
      <c r="G41" s="43">
        <v>70125</v>
      </c>
    </row>
    <row r="42" spans="1:7" x14ac:dyDescent="0.2">
      <c r="A42" s="42" t="s">
        <v>181</v>
      </c>
      <c r="B42" s="20">
        <v>24910</v>
      </c>
      <c r="C42" s="20">
        <v>24910</v>
      </c>
      <c r="D42" s="20">
        <v>0</v>
      </c>
      <c r="E42" s="20">
        <v>0</v>
      </c>
      <c r="F42" s="20">
        <v>24910</v>
      </c>
      <c r="G42" s="43">
        <v>24910</v>
      </c>
    </row>
    <row r="43" spans="1:7" x14ac:dyDescent="0.2">
      <c r="A43" s="42" t="s">
        <v>182</v>
      </c>
      <c r="B43" s="20">
        <v>19409</v>
      </c>
      <c r="C43" s="20">
        <v>19409</v>
      </c>
      <c r="D43" s="20">
        <v>0</v>
      </c>
      <c r="E43" s="20">
        <v>0</v>
      </c>
      <c r="F43" s="20">
        <v>19409</v>
      </c>
      <c r="G43" s="43">
        <v>19409</v>
      </c>
    </row>
    <row r="44" spans="1:7" x14ac:dyDescent="0.2">
      <c r="A44" s="42" t="s">
        <v>183</v>
      </c>
      <c r="B44" s="20">
        <v>55337</v>
      </c>
      <c r="C44" s="20">
        <v>55337</v>
      </c>
      <c r="D44" s="20">
        <v>0</v>
      </c>
      <c r="E44" s="20">
        <v>0</v>
      </c>
      <c r="F44" s="20">
        <v>55337</v>
      </c>
      <c r="G44" s="43">
        <v>55337</v>
      </c>
    </row>
    <row r="45" spans="1:7" x14ac:dyDescent="0.2">
      <c r="A45" s="42" t="s">
        <v>184</v>
      </c>
      <c r="B45" s="20">
        <v>6634</v>
      </c>
      <c r="C45" s="20">
        <v>6634</v>
      </c>
      <c r="D45" s="20">
        <v>0</v>
      </c>
      <c r="E45" s="20">
        <v>0</v>
      </c>
      <c r="F45" s="20">
        <v>6634</v>
      </c>
      <c r="G45" s="43">
        <v>6634</v>
      </c>
    </row>
    <row r="46" spans="1:7" x14ac:dyDescent="0.2">
      <c r="A46" s="42" t="s">
        <v>185</v>
      </c>
      <c r="B46" s="20">
        <v>9867</v>
      </c>
      <c r="C46" s="20">
        <v>9867</v>
      </c>
      <c r="D46" s="20">
        <v>0</v>
      </c>
      <c r="E46" s="20">
        <v>0</v>
      </c>
      <c r="F46" s="20">
        <v>9867</v>
      </c>
      <c r="G46" s="43">
        <v>9867</v>
      </c>
    </row>
    <row r="47" spans="1:7" x14ac:dyDescent="0.2">
      <c r="A47" s="42" t="s">
        <v>186</v>
      </c>
      <c r="B47" s="20">
        <v>1711</v>
      </c>
      <c r="C47" s="20">
        <v>1711</v>
      </c>
      <c r="D47" s="20">
        <v>0</v>
      </c>
      <c r="E47" s="20">
        <v>0</v>
      </c>
      <c r="F47" s="20">
        <v>1711</v>
      </c>
      <c r="G47" s="43">
        <v>1711</v>
      </c>
    </row>
    <row r="48" spans="1:7" x14ac:dyDescent="0.2">
      <c r="A48" s="42" t="s">
        <v>187</v>
      </c>
      <c r="B48" s="20">
        <v>37702</v>
      </c>
      <c r="C48" s="20">
        <v>37702</v>
      </c>
      <c r="D48" s="20">
        <v>0</v>
      </c>
      <c r="E48" s="20">
        <v>0</v>
      </c>
      <c r="F48" s="20">
        <v>37702</v>
      </c>
      <c r="G48" s="43">
        <v>37702</v>
      </c>
    </row>
    <row r="49" spans="1:7" x14ac:dyDescent="0.2">
      <c r="A49" s="42" t="s">
        <v>188</v>
      </c>
      <c r="B49" s="20">
        <v>59844</v>
      </c>
      <c r="C49" s="20">
        <v>59844</v>
      </c>
      <c r="D49" s="20">
        <v>0</v>
      </c>
      <c r="E49" s="20">
        <v>0</v>
      </c>
      <c r="F49" s="20">
        <v>59844</v>
      </c>
      <c r="G49" s="43">
        <v>59844</v>
      </c>
    </row>
    <row r="50" spans="1:7" x14ac:dyDescent="0.2">
      <c r="A50" s="42" t="s">
        <v>189</v>
      </c>
      <c r="B50" s="20">
        <v>12591</v>
      </c>
      <c r="C50" s="20">
        <v>12591</v>
      </c>
      <c r="D50" s="20">
        <v>0</v>
      </c>
      <c r="E50" s="20">
        <v>0</v>
      </c>
      <c r="F50" s="20">
        <v>12591</v>
      </c>
      <c r="G50" s="43">
        <v>12591</v>
      </c>
    </row>
    <row r="51" spans="1:7" x14ac:dyDescent="0.2">
      <c r="A51" s="42" t="s">
        <v>190</v>
      </c>
      <c r="B51" s="20">
        <v>3945</v>
      </c>
      <c r="C51" s="20">
        <v>3945</v>
      </c>
      <c r="D51" s="20">
        <v>0</v>
      </c>
      <c r="E51" s="20">
        <v>0</v>
      </c>
      <c r="F51" s="20">
        <v>3945</v>
      </c>
      <c r="G51" s="43">
        <v>3945</v>
      </c>
    </row>
    <row r="52" spans="1:7" x14ac:dyDescent="0.2">
      <c r="A52" s="42" t="s">
        <v>191</v>
      </c>
      <c r="B52" s="20">
        <v>21329</v>
      </c>
      <c r="C52" s="20">
        <v>21329</v>
      </c>
      <c r="D52" s="20">
        <v>0</v>
      </c>
      <c r="E52" s="20">
        <v>0</v>
      </c>
      <c r="F52" s="20">
        <v>21329</v>
      </c>
      <c r="G52" s="43">
        <v>21329</v>
      </c>
    </row>
    <row r="53" spans="1:7" x14ac:dyDescent="0.2">
      <c r="A53" s="42" t="s">
        <v>192</v>
      </c>
      <c r="B53" s="20">
        <v>41883</v>
      </c>
      <c r="C53" s="20">
        <v>41883</v>
      </c>
      <c r="D53" s="20">
        <v>0</v>
      </c>
      <c r="E53" s="20">
        <v>0</v>
      </c>
      <c r="F53" s="20">
        <v>41883</v>
      </c>
      <c r="G53" s="43">
        <v>41883</v>
      </c>
    </row>
    <row r="54" spans="1:7" x14ac:dyDescent="0.2">
      <c r="A54" s="42" t="s">
        <v>193</v>
      </c>
      <c r="B54" s="20">
        <v>8727</v>
      </c>
      <c r="C54" s="20">
        <v>8727</v>
      </c>
      <c r="D54" s="20">
        <v>0</v>
      </c>
      <c r="E54" s="20">
        <v>0</v>
      </c>
      <c r="F54" s="20">
        <v>8727</v>
      </c>
      <c r="G54" s="43">
        <v>8727</v>
      </c>
    </row>
    <row r="55" spans="1:7" x14ac:dyDescent="0.2">
      <c r="A55" s="42" t="s">
        <v>194</v>
      </c>
      <c r="B55" s="20">
        <v>24511</v>
      </c>
      <c r="C55" s="20">
        <v>24511</v>
      </c>
      <c r="D55" s="20">
        <v>0</v>
      </c>
      <c r="E55" s="20">
        <v>0</v>
      </c>
      <c r="F55" s="20">
        <v>24511</v>
      </c>
      <c r="G55" s="43">
        <v>24511</v>
      </c>
    </row>
    <row r="56" spans="1:7" x14ac:dyDescent="0.2">
      <c r="A56" s="42" t="s">
        <v>195</v>
      </c>
      <c r="B56" s="20">
        <v>2815</v>
      </c>
      <c r="C56" s="20">
        <v>2815</v>
      </c>
      <c r="D56" s="20">
        <v>0</v>
      </c>
      <c r="E56" s="20">
        <v>0</v>
      </c>
      <c r="F56" s="20">
        <v>2815</v>
      </c>
      <c r="G56" s="43">
        <v>2815</v>
      </c>
    </row>
    <row r="57" spans="1:7" x14ac:dyDescent="0.2">
      <c r="A57" s="42" t="s">
        <v>196</v>
      </c>
      <c r="B57" s="20">
        <v>0</v>
      </c>
      <c r="C57" s="20">
        <v>3290</v>
      </c>
      <c r="D57" s="20">
        <v>0</v>
      </c>
      <c r="E57" s="20">
        <v>0</v>
      </c>
      <c r="F57" s="20">
        <v>3290</v>
      </c>
      <c r="G57" s="43">
        <v>3290</v>
      </c>
    </row>
    <row r="58" spans="1:7" x14ac:dyDescent="0.2">
      <c r="A58" s="42" t="s">
        <v>197</v>
      </c>
      <c r="B58" s="20">
        <v>0</v>
      </c>
      <c r="C58" s="20">
        <v>7111</v>
      </c>
      <c r="D58" s="20">
        <v>0</v>
      </c>
      <c r="E58" s="20">
        <v>0</v>
      </c>
      <c r="F58" s="20">
        <v>7111</v>
      </c>
      <c r="G58" s="43">
        <v>7111</v>
      </c>
    </row>
    <row r="59" spans="1:7" x14ac:dyDescent="0.2">
      <c r="A59" s="42" t="s">
        <v>198</v>
      </c>
      <c r="B59" s="20">
        <v>0</v>
      </c>
      <c r="C59" s="20">
        <v>2402</v>
      </c>
      <c r="D59" s="20">
        <v>0</v>
      </c>
      <c r="E59" s="20">
        <v>0</v>
      </c>
      <c r="F59" s="20">
        <v>2402</v>
      </c>
      <c r="G59" s="43">
        <v>2402</v>
      </c>
    </row>
    <row r="60" spans="1:7" x14ac:dyDescent="0.2">
      <c r="A60" s="42" t="s">
        <v>199</v>
      </c>
      <c r="B60" s="20">
        <v>0</v>
      </c>
      <c r="C60" s="20">
        <v>58465</v>
      </c>
      <c r="D60" s="20">
        <v>0</v>
      </c>
      <c r="E60" s="20">
        <v>0</v>
      </c>
      <c r="F60" s="20">
        <v>58465</v>
      </c>
      <c r="G60" s="43">
        <v>58465</v>
      </c>
    </row>
    <row r="61" spans="1:7" x14ac:dyDescent="0.2">
      <c r="A61" s="42" t="s">
        <v>200</v>
      </c>
      <c r="B61" s="20">
        <v>0</v>
      </c>
      <c r="C61" s="20">
        <v>0</v>
      </c>
      <c r="D61" s="20">
        <v>0</v>
      </c>
      <c r="E61" s="20">
        <v>0</v>
      </c>
      <c r="F61" s="20">
        <v>0</v>
      </c>
      <c r="G61" s="43">
        <v>0</v>
      </c>
    </row>
    <row r="62" spans="1:7" x14ac:dyDescent="0.2">
      <c r="A62" s="42" t="s">
        <v>201</v>
      </c>
      <c r="B62" s="20">
        <v>0</v>
      </c>
      <c r="C62" s="20">
        <v>3732</v>
      </c>
      <c r="D62" s="20">
        <v>0</v>
      </c>
      <c r="E62" s="20">
        <v>0</v>
      </c>
      <c r="F62" s="20">
        <v>3732</v>
      </c>
      <c r="G62" s="43">
        <v>3732</v>
      </c>
    </row>
    <row r="63" spans="1:7" x14ac:dyDescent="0.2">
      <c r="A63" s="42" t="s">
        <v>202</v>
      </c>
      <c r="B63" s="20">
        <v>58340</v>
      </c>
      <c r="C63" s="20">
        <v>100000</v>
      </c>
      <c r="D63" s="20">
        <v>0</v>
      </c>
      <c r="E63" s="20">
        <v>0</v>
      </c>
      <c r="F63" s="20">
        <v>100000</v>
      </c>
      <c r="G63" s="43">
        <v>100000</v>
      </c>
    </row>
    <row r="64" spans="1:7" x14ac:dyDescent="0.2">
      <c r="A64" s="42" t="s">
        <v>203</v>
      </c>
      <c r="B64" s="20">
        <v>0</v>
      </c>
      <c r="C64" s="20">
        <v>0</v>
      </c>
      <c r="D64" s="20">
        <v>0</v>
      </c>
      <c r="E64" s="20">
        <v>0</v>
      </c>
      <c r="F64" s="20">
        <v>0</v>
      </c>
      <c r="G64" s="43">
        <v>0</v>
      </c>
    </row>
    <row r="65" spans="1:7" ht="15" customHeight="1" x14ac:dyDescent="0.2">
      <c r="A65" s="44" t="s">
        <v>204</v>
      </c>
      <c r="B65" s="45">
        <v>1235864</v>
      </c>
      <c r="C65" s="45">
        <v>1352525</v>
      </c>
      <c r="D65" s="45">
        <v>0</v>
      </c>
      <c r="E65" s="45">
        <v>0</v>
      </c>
      <c r="F65" s="45">
        <v>1352525</v>
      </c>
      <c r="G65" s="51">
        <v>1352525</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223</v>
      </c>
    </row>
    <row r="2" spans="1:7" x14ac:dyDescent="0.2">
      <c r="A2" s="17" t="s">
        <v>341</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25509</v>
      </c>
      <c r="C6" s="20">
        <v>32287</v>
      </c>
      <c r="D6" s="20">
        <v>0</v>
      </c>
      <c r="E6" s="20">
        <v>0</v>
      </c>
      <c r="F6" s="20">
        <v>32287</v>
      </c>
      <c r="G6" s="43">
        <v>32048</v>
      </c>
    </row>
    <row r="7" spans="1:7" x14ac:dyDescent="0.2">
      <c r="A7" s="42" t="s">
        <v>146</v>
      </c>
      <c r="B7" s="20">
        <v>4254</v>
      </c>
      <c r="C7" s="20">
        <v>5493</v>
      </c>
      <c r="D7" s="20">
        <v>0</v>
      </c>
      <c r="E7" s="20">
        <v>0</v>
      </c>
      <c r="F7" s="20">
        <v>5493</v>
      </c>
      <c r="G7" s="43">
        <v>5571</v>
      </c>
    </row>
    <row r="8" spans="1:7" x14ac:dyDescent="0.2">
      <c r="A8" s="42" t="s">
        <v>147</v>
      </c>
      <c r="B8" s="20">
        <v>38503</v>
      </c>
      <c r="C8" s="20">
        <v>48463</v>
      </c>
      <c r="D8" s="20">
        <v>0</v>
      </c>
      <c r="E8" s="20">
        <v>0</v>
      </c>
      <c r="F8" s="20">
        <v>48463</v>
      </c>
      <c r="G8" s="43">
        <v>48384</v>
      </c>
    </row>
    <row r="9" spans="1:7" x14ac:dyDescent="0.2">
      <c r="A9" s="42" t="s">
        <v>148</v>
      </c>
      <c r="B9" s="20">
        <v>15871</v>
      </c>
      <c r="C9" s="20">
        <v>20783</v>
      </c>
      <c r="D9" s="20">
        <v>0</v>
      </c>
      <c r="E9" s="20">
        <v>0</v>
      </c>
      <c r="F9" s="20">
        <v>20783</v>
      </c>
      <c r="G9" s="43">
        <v>20788</v>
      </c>
    </row>
    <row r="10" spans="1:7" x14ac:dyDescent="0.2">
      <c r="A10" s="42" t="s">
        <v>149</v>
      </c>
      <c r="B10" s="20">
        <v>211967</v>
      </c>
      <c r="C10" s="20">
        <v>264300</v>
      </c>
      <c r="D10" s="20">
        <v>0</v>
      </c>
      <c r="E10" s="20">
        <v>0</v>
      </c>
      <c r="F10" s="20">
        <v>264300</v>
      </c>
      <c r="G10" s="43">
        <v>266236</v>
      </c>
    </row>
    <row r="11" spans="1:7" x14ac:dyDescent="0.2">
      <c r="A11" s="42" t="s">
        <v>150</v>
      </c>
      <c r="B11" s="20">
        <v>29613</v>
      </c>
      <c r="C11" s="20">
        <v>37139</v>
      </c>
      <c r="D11" s="20">
        <v>0</v>
      </c>
      <c r="E11" s="20">
        <v>0</v>
      </c>
      <c r="F11" s="20">
        <v>37139</v>
      </c>
      <c r="G11" s="43">
        <v>37206</v>
      </c>
    </row>
    <row r="12" spans="1:7" x14ac:dyDescent="0.2">
      <c r="A12" s="42" t="s">
        <v>151</v>
      </c>
      <c r="B12" s="20">
        <v>15953</v>
      </c>
      <c r="C12" s="20">
        <v>20817</v>
      </c>
      <c r="D12" s="20">
        <v>0</v>
      </c>
      <c r="E12" s="20">
        <v>0</v>
      </c>
      <c r="F12" s="20">
        <v>20817</v>
      </c>
      <c r="G12" s="43">
        <v>20895</v>
      </c>
    </row>
    <row r="13" spans="1:7" x14ac:dyDescent="0.2">
      <c r="A13" s="42" t="s">
        <v>152</v>
      </c>
      <c r="B13" s="20">
        <v>4773</v>
      </c>
      <c r="C13" s="20">
        <v>6030</v>
      </c>
      <c r="D13" s="20">
        <v>0</v>
      </c>
      <c r="E13" s="20">
        <v>0</v>
      </c>
      <c r="F13" s="20">
        <v>6030</v>
      </c>
      <c r="G13" s="43">
        <v>5996</v>
      </c>
    </row>
    <row r="14" spans="1:7" x14ac:dyDescent="0.2">
      <c r="A14" s="42" t="s">
        <v>153</v>
      </c>
      <c r="B14" s="20">
        <v>3312</v>
      </c>
      <c r="C14" s="20">
        <v>4224</v>
      </c>
      <c r="D14" s="20">
        <v>0</v>
      </c>
      <c r="E14" s="20">
        <v>0</v>
      </c>
      <c r="F14" s="20">
        <v>4224</v>
      </c>
      <c r="G14" s="43">
        <v>4167</v>
      </c>
    </row>
    <row r="15" spans="1:7" x14ac:dyDescent="0.2">
      <c r="A15" s="42" t="s">
        <v>154</v>
      </c>
      <c r="B15" s="20">
        <v>99166</v>
      </c>
      <c r="C15" s="20">
        <v>125397</v>
      </c>
      <c r="D15" s="20">
        <v>0</v>
      </c>
      <c r="E15" s="20">
        <v>0</v>
      </c>
      <c r="F15" s="20">
        <v>125397</v>
      </c>
      <c r="G15" s="43">
        <v>124633</v>
      </c>
    </row>
    <row r="16" spans="1:7" x14ac:dyDescent="0.2">
      <c r="A16" s="42" t="s">
        <v>155</v>
      </c>
      <c r="B16" s="20">
        <v>58387</v>
      </c>
      <c r="C16" s="20">
        <v>73628</v>
      </c>
      <c r="D16" s="20">
        <v>0</v>
      </c>
      <c r="E16" s="20">
        <v>0</v>
      </c>
      <c r="F16" s="20">
        <v>73628</v>
      </c>
      <c r="G16" s="43">
        <v>73349</v>
      </c>
    </row>
    <row r="17" spans="1:7" x14ac:dyDescent="0.2">
      <c r="A17" s="42" t="s">
        <v>156</v>
      </c>
      <c r="B17" s="20">
        <v>7045</v>
      </c>
      <c r="C17" s="20">
        <v>9157</v>
      </c>
      <c r="D17" s="20">
        <v>0</v>
      </c>
      <c r="E17" s="20">
        <v>0</v>
      </c>
      <c r="F17" s="20">
        <v>9157</v>
      </c>
      <c r="G17" s="43">
        <v>9228</v>
      </c>
    </row>
    <row r="18" spans="1:7" x14ac:dyDescent="0.2">
      <c r="A18" s="42" t="s">
        <v>157</v>
      </c>
      <c r="B18" s="20">
        <v>9998</v>
      </c>
      <c r="C18" s="20">
        <v>13194</v>
      </c>
      <c r="D18" s="20">
        <v>0</v>
      </c>
      <c r="E18" s="20">
        <v>0</v>
      </c>
      <c r="F18" s="20">
        <v>13194</v>
      </c>
      <c r="G18" s="43">
        <v>13096</v>
      </c>
    </row>
    <row r="19" spans="1:7" x14ac:dyDescent="0.2">
      <c r="A19" s="42" t="s">
        <v>158</v>
      </c>
      <c r="B19" s="20">
        <v>66464</v>
      </c>
      <c r="C19" s="20">
        <v>82727</v>
      </c>
      <c r="D19" s="20">
        <v>0</v>
      </c>
      <c r="E19" s="20">
        <v>0</v>
      </c>
      <c r="F19" s="20">
        <v>82727</v>
      </c>
      <c r="G19" s="43">
        <v>83459</v>
      </c>
    </row>
    <row r="20" spans="1:7" x14ac:dyDescent="0.2">
      <c r="A20" s="42" t="s">
        <v>159</v>
      </c>
      <c r="B20" s="20">
        <v>36626</v>
      </c>
      <c r="C20" s="20">
        <v>46309</v>
      </c>
      <c r="D20" s="20">
        <v>0</v>
      </c>
      <c r="E20" s="20">
        <v>0</v>
      </c>
      <c r="F20" s="20">
        <v>46309</v>
      </c>
      <c r="G20" s="43">
        <v>46013</v>
      </c>
    </row>
    <row r="21" spans="1:7" x14ac:dyDescent="0.2">
      <c r="A21" s="42" t="s">
        <v>160</v>
      </c>
      <c r="B21" s="20">
        <v>17222</v>
      </c>
      <c r="C21" s="20">
        <v>21588</v>
      </c>
      <c r="D21" s="20">
        <v>0</v>
      </c>
      <c r="E21" s="20">
        <v>0</v>
      </c>
      <c r="F21" s="20">
        <v>21588</v>
      </c>
      <c r="G21" s="43">
        <v>21637</v>
      </c>
    </row>
    <row r="22" spans="1:7" x14ac:dyDescent="0.2">
      <c r="A22" s="42" t="s">
        <v>161</v>
      </c>
      <c r="B22" s="20">
        <v>15968</v>
      </c>
      <c r="C22" s="20">
        <v>20798</v>
      </c>
      <c r="D22" s="20">
        <v>0</v>
      </c>
      <c r="E22" s="20">
        <v>0</v>
      </c>
      <c r="F22" s="20">
        <v>20798</v>
      </c>
      <c r="G22" s="43">
        <v>20914</v>
      </c>
    </row>
    <row r="23" spans="1:7" x14ac:dyDescent="0.2">
      <c r="A23" s="42" t="s">
        <v>162</v>
      </c>
      <c r="B23" s="20">
        <v>22747</v>
      </c>
      <c r="C23" s="20">
        <v>29800</v>
      </c>
      <c r="D23" s="20">
        <v>0</v>
      </c>
      <c r="E23" s="20">
        <v>0</v>
      </c>
      <c r="F23" s="20">
        <v>29800</v>
      </c>
      <c r="G23" s="43">
        <v>29794</v>
      </c>
    </row>
    <row r="24" spans="1:7" x14ac:dyDescent="0.2">
      <c r="A24" s="42" t="s">
        <v>163</v>
      </c>
      <c r="B24" s="20">
        <v>26073</v>
      </c>
      <c r="C24" s="20">
        <v>32659</v>
      </c>
      <c r="D24" s="20">
        <v>0</v>
      </c>
      <c r="E24" s="20">
        <v>0</v>
      </c>
      <c r="F24" s="20">
        <v>32659</v>
      </c>
      <c r="G24" s="43">
        <v>32745</v>
      </c>
    </row>
    <row r="25" spans="1:7" x14ac:dyDescent="0.2">
      <c r="A25" s="42" t="s">
        <v>164</v>
      </c>
      <c r="B25" s="20">
        <v>5514</v>
      </c>
      <c r="C25" s="20">
        <v>7208</v>
      </c>
      <c r="D25" s="20">
        <v>0</v>
      </c>
      <c r="E25" s="20">
        <v>0</v>
      </c>
      <c r="F25" s="20">
        <v>7208</v>
      </c>
      <c r="G25" s="43">
        <v>7223</v>
      </c>
    </row>
    <row r="26" spans="1:7" x14ac:dyDescent="0.2">
      <c r="A26" s="42" t="s">
        <v>165</v>
      </c>
      <c r="B26" s="20">
        <v>31559</v>
      </c>
      <c r="C26" s="20">
        <v>39745</v>
      </c>
      <c r="D26" s="20">
        <v>0</v>
      </c>
      <c r="E26" s="20">
        <v>0</v>
      </c>
      <c r="F26" s="20">
        <v>39745</v>
      </c>
      <c r="G26" s="43">
        <v>39646</v>
      </c>
    </row>
    <row r="27" spans="1:7" x14ac:dyDescent="0.2">
      <c r="A27" s="42" t="s">
        <v>166</v>
      </c>
      <c r="B27" s="20">
        <v>31487</v>
      </c>
      <c r="C27" s="20">
        <v>39478</v>
      </c>
      <c r="D27" s="20">
        <v>0</v>
      </c>
      <c r="E27" s="20">
        <v>0</v>
      </c>
      <c r="F27" s="20">
        <v>39478</v>
      </c>
      <c r="G27" s="43">
        <v>39561</v>
      </c>
    </row>
    <row r="28" spans="1:7" x14ac:dyDescent="0.2">
      <c r="A28" s="42" t="s">
        <v>167</v>
      </c>
      <c r="B28" s="20">
        <v>47990</v>
      </c>
      <c r="C28" s="20">
        <v>62779</v>
      </c>
      <c r="D28" s="20">
        <v>0</v>
      </c>
      <c r="E28" s="20">
        <v>0</v>
      </c>
      <c r="F28" s="20">
        <v>62779</v>
      </c>
      <c r="G28" s="43">
        <v>62856</v>
      </c>
    </row>
    <row r="29" spans="1:7" x14ac:dyDescent="0.2">
      <c r="A29" s="42" t="s">
        <v>168</v>
      </c>
      <c r="B29" s="20">
        <v>30496</v>
      </c>
      <c r="C29" s="20">
        <v>38801</v>
      </c>
      <c r="D29" s="20">
        <v>0</v>
      </c>
      <c r="E29" s="20">
        <v>0</v>
      </c>
      <c r="F29" s="20">
        <v>38801</v>
      </c>
      <c r="G29" s="43">
        <v>38633</v>
      </c>
    </row>
    <row r="30" spans="1:7" x14ac:dyDescent="0.2">
      <c r="A30" s="42" t="s">
        <v>169</v>
      </c>
      <c r="B30" s="20">
        <v>15859</v>
      </c>
      <c r="C30" s="20">
        <v>20616</v>
      </c>
      <c r="D30" s="20">
        <v>0</v>
      </c>
      <c r="E30" s="20">
        <v>0</v>
      </c>
      <c r="F30" s="20">
        <v>20616</v>
      </c>
      <c r="G30" s="43">
        <v>20772</v>
      </c>
    </row>
    <row r="31" spans="1:7" x14ac:dyDescent="0.2">
      <c r="A31" s="42" t="s">
        <v>170</v>
      </c>
      <c r="B31" s="20">
        <v>31012</v>
      </c>
      <c r="C31" s="20">
        <v>40639</v>
      </c>
      <c r="D31" s="20">
        <v>0</v>
      </c>
      <c r="E31" s="20">
        <v>0</v>
      </c>
      <c r="F31" s="20">
        <v>40639</v>
      </c>
      <c r="G31" s="43">
        <v>40619</v>
      </c>
    </row>
    <row r="32" spans="1:7" x14ac:dyDescent="0.2">
      <c r="A32" s="42" t="s">
        <v>171</v>
      </c>
      <c r="B32" s="20">
        <v>5432</v>
      </c>
      <c r="C32" s="20">
        <v>6818</v>
      </c>
      <c r="D32" s="20">
        <v>0</v>
      </c>
      <c r="E32" s="20">
        <v>0</v>
      </c>
      <c r="F32" s="20">
        <v>6818</v>
      </c>
      <c r="G32" s="43">
        <v>6824</v>
      </c>
    </row>
    <row r="33" spans="1:7" x14ac:dyDescent="0.2">
      <c r="A33" s="42" t="s">
        <v>172</v>
      </c>
      <c r="B33" s="20">
        <v>10864</v>
      </c>
      <c r="C33" s="20">
        <v>14244</v>
      </c>
      <c r="D33" s="20">
        <v>0</v>
      </c>
      <c r="E33" s="20">
        <v>0</v>
      </c>
      <c r="F33" s="20">
        <v>14244</v>
      </c>
      <c r="G33" s="43">
        <v>14230</v>
      </c>
    </row>
    <row r="34" spans="1:7" x14ac:dyDescent="0.2">
      <c r="A34" s="42" t="s">
        <v>173</v>
      </c>
      <c r="B34" s="20">
        <v>16295</v>
      </c>
      <c r="C34" s="20">
        <v>20669</v>
      </c>
      <c r="D34" s="20">
        <v>0</v>
      </c>
      <c r="E34" s="20">
        <v>0</v>
      </c>
      <c r="F34" s="20">
        <v>20669</v>
      </c>
      <c r="G34" s="43">
        <v>20478</v>
      </c>
    </row>
    <row r="35" spans="1:7" x14ac:dyDescent="0.2">
      <c r="A35" s="42" t="s">
        <v>174</v>
      </c>
      <c r="B35" s="20">
        <v>5599</v>
      </c>
      <c r="C35" s="20">
        <v>7303</v>
      </c>
      <c r="D35" s="20">
        <v>0</v>
      </c>
      <c r="E35" s="20">
        <v>0</v>
      </c>
      <c r="F35" s="20">
        <v>7303</v>
      </c>
      <c r="G35" s="43">
        <v>7334</v>
      </c>
    </row>
    <row r="36" spans="1:7" x14ac:dyDescent="0.2">
      <c r="A36" s="42" t="s">
        <v>175</v>
      </c>
      <c r="B36" s="20">
        <v>45389</v>
      </c>
      <c r="C36" s="20">
        <v>56977</v>
      </c>
      <c r="D36" s="20">
        <v>0</v>
      </c>
      <c r="E36" s="20">
        <v>0</v>
      </c>
      <c r="F36" s="20">
        <v>56977</v>
      </c>
      <c r="G36" s="43">
        <v>57003</v>
      </c>
    </row>
    <row r="37" spans="1:7" x14ac:dyDescent="0.2">
      <c r="A37" s="42" t="s">
        <v>176</v>
      </c>
      <c r="B37" s="20">
        <v>11262</v>
      </c>
      <c r="C37" s="20">
        <v>13987</v>
      </c>
      <c r="D37" s="20">
        <v>0</v>
      </c>
      <c r="E37" s="20">
        <v>0</v>
      </c>
      <c r="F37" s="20">
        <v>13987</v>
      </c>
      <c r="G37" s="43">
        <v>14141</v>
      </c>
    </row>
    <row r="38" spans="1:7" x14ac:dyDescent="0.2">
      <c r="A38" s="42" t="s">
        <v>177</v>
      </c>
      <c r="B38" s="20">
        <v>95946</v>
      </c>
      <c r="C38" s="20">
        <v>120223</v>
      </c>
      <c r="D38" s="20">
        <v>0</v>
      </c>
      <c r="E38" s="20">
        <v>0</v>
      </c>
      <c r="F38" s="20">
        <v>120223</v>
      </c>
      <c r="G38" s="43">
        <v>120462</v>
      </c>
    </row>
    <row r="39" spans="1:7" x14ac:dyDescent="0.2">
      <c r="A39" s="42" t="s">
        <v>178</v>
      </c>
      <c r="B39" s="20">
        <v>53685</v>
      </c>
      <c r="C39" s="20">
        <v>67852</v>
      </c>
      <c r="D39" s="20">
        <v>0</v>
      </c>
      <c r="E39" s="20">
        <v>0</v>
      </c>
      <c r="F39" s="20">
        <v>67852</v>
      </c>
      <c r="G39" s="43">
        <v>67451</v>
      </c>
    </row>
    <row r="40" spans="1:7" x14ac:dyDescent="0.2">
      <c r="A40" s="42" t="s">
        <v>179</v>
      </c>
      <c r="B40" s="20">
        <v>4391</v>
      </c>
      <c r="C40" s="20">
        <v>5578</v>
      </c>
      <c r="D40" s="20">
        <v>0</v>
      </c>
      <c r="E40" s="20">
        <v>0</v>
      </c>
      <c r="F40" s="20">
        <v>5578</v>
      </c>
      <c r="G40" s="43">
        <v>5520</v>
      </c>
    </row>
    <row r="41" spans="1:7" x14ac:dyDescent="0.2">
      <c r="A41" s="42" t="s">
        <v>180</v>
      </c>
      <c r="B41" s="20">
        <v>60448</v>
      </c>
      <c r="C41" s="20">
        <v>76089</v>
      </c>
      <c r="D41" s="20">
        <v>0</v>
      </c>
      <c r="E41" s="20">
        <v>0</v>
      </c>
      <c r="F41" s="20">
        <v>76089</v>
      </c>
      <c r="G41" s="43">
        <v>75942</v>
      </c>
    </row>
    <row r="42" spans="1:7" x14ac:dyDescent="0.2">
      <c r="A42" s="42" t="s">
        <v>181</v>
      </c>
      <c r="B42" s="20">
        <v>21733</v>
      </c>
      <c r="C42" s="20">
        <v>28451</v>
      </c>
      <c r="D42" s="20">
        <v>0</v>
      </c>
      <c r="E42" s="20">
        <v>0</v>
      </c>
      <c r="F42" s="20">
        <v>28451</v>
      </c>
      <c r="G42" s="43">
        <v>28466</v>
      </c>
    </row>
    <row r="43" spans="1:7" x14ac:dyDescent="0.2">
      <c r="A43" s="42" t="s">
        <v>182</v>
      </c>
      <c r="B43" s="20">
        <v>20559</v>
      </c>
      <c r="C43" s="20">
        <v>25706</v>
      </c>
      <c r="D43" s="20">
        <v>0</v>
      </c>
      <c r="E43" s="20">
        <v>0</v>
      </c>
      <c r="F43" s="20">
        <v>25706</v>
      </c>
      <c r="G43" s="43">
        <v>25832</v>
      </c>
    </row>
    <row r="44" spans="1:7" x14ac:dyDescent="0.2">
      <c r="A44" s="42" t="s">
        <v>183</v>
      </c>
      <c r="B44" s="20">
        <v>61605</v>
      </c>
      <c r="C44" s="20">
        <v>77537</v>
      </c>
      <c r="D44" s="20">
        <v>0</v>
      </c>
      <c r="E44" s="20">
        <v>0</v>
      </c>
      <c r="F44" s="20">
        <v>77537</v>
      </c>
      <c r="G44" s="43">
        <v>77389</v>
      </c>
    </row>
    <row r="45" spans="1:7" x14ac:dyDescent="0.2">
      <c r="A45" s="42" t="s">
        <v>184</v>
      </c>
      <c r="B45" s="20">
        <v>4527</v>
      </c>
      <c r="C45" s="20">
        <v>5944</v>
      </c>
      <c r="D45" s="20">
        <v>0</v>
      </c>
      <c r="E45" s="20">
        <v>0</v>
      </c>
      <c r="F45" s="20">
        <v>5944</v>
      </c>
      <c r="G45" s="43">
        <v>5930</v>
      </c>
    </row>
    <row r="46" spans="1:7" x14ac:dyDescent="0.2">
      <c r="A46" s="42" t="s">
        <v>185</v>
      </c>
      <c r="B46" s="20">
        <v>24914</v>
      </c>
      <c r="C46" s="20">
        <v>32948</v>
      </c>
      <c r="D46" s="20">
        <v>0</v>
      </c>
      <c r="E46" s="20">
        <v>0</v>
      </c>
      <c r="F46" s="20">
        <v>32948</v>
      </c>
      <c r="G46" s="43">
        <v>32631</v>
      </c>
    </row>
    <row r="47" spans="1:7" x14ac:dyDescent="0.2">
      <c r="A47" s="42" t="s">
        <v>186</v>
      </c>
      <c r="B47" s="20">
        <v>5127</v>
      </c>
      <c r="C47" s="20">
        <v>6585</v>
      </c>
      <c r="D47" s="20">
        <v>0</v>
      </c>
      <c r="E47" s="20">
        <v>0</v>
      </c>
      <c r="F47" s="20">
        <v>6585</v>
      </c>
      <c r="G47" s="43">
        <v>6584</v>
      </c>
    </row>
    <row r="48" spans="1:7" x14ac:dyDescent="0.2">
      <c r="A48" s="42" t="s">
        <v>187</v>
      </c>
      <c r="B48" s="20">
        <v>33902</v>
      </c>
      <c r="C48" s="20">
        <v>44790</v>
      </c>
      <c r="D48" s="20">
        <v>0</v>
      </c>
      <c r="E48" s="20">
        <v>0</v>
      </c>
      <c r="F48" s="20">
        <v>44790</v>
      </c>
      <c r="G48" s="43">
        <v>44404</v>
      </c>
    </row>
    <row r="49" spans="1:7" x14ac:dyDescent="0.2">
      <c r="A49" s="42" t="s">
        <v>188</v>
      </c>
      <c r="B49" s="20">
        <v>167584</v>
      </c>
      <c r="C49" s="20">
        <v>220367</v>
      </c>
      <c r="D49" s="20">
        <v>0</v>
      </c>
      <c r="E49" s="20">
        <v>0</v>
      </c>
      <c r="F49" s="20">
        <v>220367</v>
      </c>
      <c r="G49" s="43">
        <v>219499</v>
      </c>
    </row>
    <row r="50" spans="1:7" x14ac:dyDescent="0.2">
      <c r="A50" s="42" t="s">
        <v>189</v>
      </c>
      <c r="B50" s="20">
        <v>21163</v>
      </c>
      <c r="C50" s="20">
        <v>27683</v>
      </c>
      <c r="D50" s="20">
        <v>0</v>
      </c>
      <c r="E50" s="20">
        <v>0</v>
      </c>
      <c r="F50" s="20">
        <v>27683</v>
      </c>
      <c r="G50" s="43">
        <v>27719</v>
      </c>
    </row>
    <row r="51" spans="1:7" x14ac:dyDescent="0.2">
      <c r="A51" s="42" t="s">
        <v>190</v>
      </c>
      <c r="B51" s="20">
        <v>2657</v>
      </c>
      <c r="C51" s="20">
        <v>3307</v>
      </c>
      <c r="D51" s="20">
        <v>0</v>
      </c>
      <c r="E51" s="20">
        <v>0</v>
      </c>
      <c r="F51" s="20">
        <v>3307</v>
      </c>
      <c r="G51" s="43">
        <v>3338</v>
      </c>
    </row>
    <row r="52" spans="1:7" x14ac:dyDescent="0.2">
      <c r="A52" s="42" t="s">
        <v>191</v>
      </c>
      <c r="B52" s="20">
        <v>42211</v>
      </c>
      <c r="C52" s="20">
        <v>55312</v>
      </c>
      <c r="D52" s="20">
        <v>0</v>
      </c>
      <c r="E52" s="20">
        <v>0</v>
      </c>
      <c r="F52" s="20">
        <v>55312</v>
      </c>
      <c r="G52" s="43">
        <v>55288</v>
      </c>
    </row>
    <row r="53" spans="1:7" x14ac:dyDescent="0.2">
      <c r="A53" s="42" t="s">
        <v>192</v>
      </c>
      <c r="B53" s="20">
        <v>38045</v>
      </c>
      <c r="C53" s="20">
        <v>50069</v>
      </c>
      <c r="D53" s="20">
        <v>0</v>
      </c>
      <c r="E53" s="20">
        <v>0</v>
      </c>
      <c r="F53" s="20">
        <v>50069</v>
      </c>
      <c r="G53" s="43">
        <v>49830</v>
      </c>
    </row>
    <row r="54" spans="1:7" x14ac:dyDescent="0.2">
      <c r="A54" s="42" t="s">
        <v>193</v>
      </c>
      <c r="B54" s="20">
        <v>8489</v>
      </c>
      <c r="C54" s="20">
        <v>10572</v>
      </c>
      <c r="D54" s="20">
        <v>0</v>
      </c>
      <c r="E54" s="20">
        <v>0</v>
      </c>
      <c r="F54" s="20">
        <v>10572</v>
      </c>
      <c r="G54" s="43">
        <v>10659</v>
      </c>
    </row>
    <row r="55" spans="1:7" x14ac:dyDescent="0.2">
      <c r="A55" s="42" t="s">
        <v>194</v>
      </c>
      <c r="B55" s="20">
        <v>29679</v>
      </c>
      <c r="C55" s="20">
        <v>37165</v>
      </c>
      <c r="D55" s="20">
        <v>0</v>
      </c>
      <c r="E55" s="20">
        <v>0</v>
      </c>
      <c r="F55" s="20">
        <v>37165</v>
      </c>
      <c r="G55" s="43">
        <v>37283</v>
      </c>
    </row>
    <row r="56" spans="1:7" x14ac:dyDescent="0.2">
      <c r="A56" s="42" t="s">
        <v>195</v>
      </c>
      <c r="B56" s="20">
        <v>3201</v>
      </c>
      <c r="C56" s="20">
        <v>3980</v>
      </c>
      <c r="D56" s="20">
        <v>0</v>
      </c>
      <c r="E56" s="20">
        <v>0</v>
      </c>
      <c r="F56" s="20">
        <v>3980</v>
      </c>
      <c r="G56" s="43">
        <v>4019</v>
      </c>
    </row>
    <row r="57" spans="1:7" x14ac:dyDescent="0.2">
      <c r="A57" s="42" t="s">
        <v>196</v>
      </c>
      <c r="B57" s="20">
        <v>0</v>
      </c>
      <c r="C57" s="20">
        <v>0</v>
      </c>
      <c r="D57" s="20">
        <v>0</v>
      </c>
      <c r="E57" s="20">
        <v>0</v>
      </c>
      <c r="F57" s="20">
        <v>0</v>
      </c>
      <c r="G57" s="43">
        <v>0</v>
      </c>
    </row>
    <row r="58" spans="1:7" x14ac:dyDescent="0.2">
      <c r="A58" s="42" t="s">
        <v>197</v>
      </c>
      <c r="B58" s="20">
        <v>0</v>
      </c>
      <c r="C58" s="20">
        <v>0</v>
      </c>
      <c r="D58" s="20">
        <v>0</v>
      </c>
      <c r="E58" s="20">
        <v>0</v>
      </c>
      <c r="F58" s="20">
        <v>0</v>
      </c>
      <c r="G58" s="43">
        <v>0</v>
      </c>
    </row>
    <row r="59" spans="1:7" x14ac:dyDescent="0.2">
      <c r="A59" s="42" t="s">
        <v>198</v>
      </c>
      <c r="B59" s="20">
        <v>0</v>
      </c>
      <c r="C59" s="20">
        <v>0</v>
      </c>
      <c r="D59" s="20">
        <v>0</v>
      </c>
      <c r="E59" s="20">
        <v>0</v>
      </c>
      <c r="F59" s="20">
        <v>0</v>
      </c>
      <c r="G59" s="43">
        <v>0</v>
      </c>
    </row>
    <row r="60" spans="1:7" x14ac:dyDescent="0.2">
      <c r="A60" s="42" t="s">
        <v>199</v>
      </c>
      <c r="B60" s="20">
        <v>0</v>
      </c>
      <c r="C60" s="20">
        <v>0</v>
      </c>
      <c r="D60" s="20">
        <v>0</v>
      </c>
      <c r="E60" s="20">
        <v>0</v>
      </c>
      <c r="F60" s="20">
        <v>0</v>
      </c>
      <c r="G60" s="43">
        <v>0</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1698075</v>
      </c>
      <c r="C65" s="45">
        <v>2164215</v>
      </c>
      <c r="D65" s="45">
        <v>0</v>
      </c>
      <c r="E65" s="45">
        <v>0</v>
      </c>
      <c r="F65" s="45">
        <v>2164215</v>
      </c>
      <c r="G65" s="51">
        <v>2163725</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224</v>
      </c>
    </row>
    <row r="2" spans="1:7" x14ac:dyDescent="0.2">
      <c r="A2" s="17" t="s">
        <v>342</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152118</v>
      </c>
      <c r="C6" s="20">
        <v>155596</v>
      </c>
      <c r="D6" s="20">
        <v>0</v>
      </c>
      <c r="E6" s="20">
        <v>0</v>
      </c>
      <c r="F6" s="20">
        <v>155596</v>
      </c>
      <c r="G6" s="43">
        <v>157603</v>
      </c>
    </row>
    <row r="7" spans="1:7" x14ac:dyDescent="0.2">
      <c r="A7" s="42" t="s">
        <v>146</v>
      </c>
      <c r="B7" s="20">
        <v>19582</v>
      </c>
      <c r="C7" s="20">
        <v>20732</v>
      </c>
      <c r="D7" s="20">
        <v>0</v>
      </c>
      <c r="E7" s="20">
        <v>0</v>
      </c>
      <c r="F7" s="20">
        <v>20732</v>
      </c>
      <c r="G7" s="43">
        <v>21000</v>
      </c>
    </row>
    <row r="8" spans="1:7" x14ac:dyDescent="0.2">
      <c r="A8" s="42" t="s">
        <v>147</v>
      </c>
      <c r="B8" s="20">
        <v>171240</v>
      </c>
      <c r="C8" s="20">
        <v>176477</v>
      </c>
      <c r="D8" s="20">
        <v>0</v>
      </c>
      <c r="E8" s="20">
        <v>0</v>
      </c>
      <c r="F8" s="20">
        <v>176477</v>
      </c>
      <c r="G8" s="43">
        <v>178753</v>
      </c>
    </row>
    <row r="9" spans="1:7" x14ac:dyDescent="0.2">
      <c r="A9" s="42" t="s">
        <v>148</v>
      </c>
      <c r="B9" s="20">
        <v>105242</v>
      </c>
      <c r="C9" s="20">
        <v>107228</v>
      </c>
      <c r="D9" s="20">
        <v>0</v>
      </c>
      <c r="E9" s="20">
        <v>0</v>
      </c>
      <c r="F9" s="20">
        <v>107228</v>
      </c>
      <c r="G9" s="43">
        <v>108611</v>
      </c>
    </row>
    <row r="10" spans="1:7" x14ac:dyDescent="0.2">
      <c r="A10" s="42" t="s">
        <v>149</v>
      </c>
      <c r="B10" s="20">
        <v>1294859</v>
      </c>
      <c r="C10" s="20">
        <v>1333334</v>
      </c>
      <c r="D10" s="20">
        <v>0</v>
      </c>
      <c r="E10" s="20">
        <v>0</v>
      </c>
      <c r="F10" s="20">
        <v>1333334</v>
      </c>
      <c r="G10" s="43">
        <v>1350529</v>
      </c>
    </row>
    <row r="11" spans="1:7" x14ac:dyDescent="0.2">
      <c r="A11" s="42" t="s">
        <v>150</v>
      </c>
      <c r="B11" s="20">
        <v>116158</v>
      </c>
      <c r="C11" s="20">
        <v>120281</v>
      </c>
      <c r="D11" s="20">
        <v>0</v>
      </c>
      <c r="E11" s="20">
        <v>0</v>
      </c>
      <c r="F11" s="20">
        <v>120281</v>
      </c>
      <c r="G11" s="43">
        <v>121832</v>
      </c>
    </row>
    <row r="12" spans="1:7" x14ac:dyDescent="0.2">
      <c r="A12" s="42" t="s">
        <v>151</v>
      </c>
      <c r="B12" s="20">
        <v>72357</v>
      </c>
      <c r="C12" s="20">
        <v>73722</v>
      </c>
      <c r="D12" s="20">
        <v>0</v>
      </c>
      <c r="E12" s="20">
        <v>0</v>
      </c>
      <c r="F12" s="20">
        <v>73722</v>
      </c>
      <c r="G12" s="43">
        <v>74673</v>
      </c>
    </row>
    <row r="13" spans="1:7" x14ac:dyDescent="0.2">
      <c r="A13" s="42" t="s">
        <v>152</v>
      </c>
      <c r="B13" s="20">
        <v>21301</v>
      </c>
      <c r="C13" s="20">
        <v>21703</v>
      </c>
      <c r="D13" s="20">
        <v>0</v>
      </c>
      <c r="E13" s="20">
        <v>0</v>
      </c>
      <c r="F13" s="20">
        <v>21703</v>
      </c>
      <c r="G13" s="43">
        <v>21983</v>
      </c>
    </row>
    <row r="14" spans="1:7" x14ac:dyDescent="0.2">
      <c r="A14" s="42" t="s">
        <v>153</v>
      </c>
      <c r="B14" s="20">
        <v>38392</v>
      </c>
      <c r="C14" s="20">
        <v>39117</v>
      </c>
      <c r="D14" s="20">
        <v>0</v>
      </c>
      <c r="E14" s="20">
        <v>0</v>
      </c>
      <c r="F14" s="20">
        <v>39117</v>
      </c>
      <c r="G14" s="43">
        <v>39621</v>
      </c>
    </row>
    <row r="15" spans="1:7" x14ac:dyDescent="0.2">
      <c r="A15" s="42" t="s">
        <v>154</v>
      </c>
      <c r="B15" s="20">
        <v>432493</v>
      </c>
      <c r="C15" s="20">
        <v>446361</v>
      </c>
      <c r="D15" s="20">
        <v>0</v>
      </c>
      <c r="E15" s="20">
        <v>0</v>
      </c>
      <c r="F15" s="20">
        <v>446361</v>
      </c>
      <c r="G15" s="43">
        <v>452117</v>
      </c>
    </row>
    <row r="16" spans="1:7" x14ac:dyDescent="0.2">
      <c r="A16" s="42" t="s">
        <v>155</v>
      </c>
      <c r="B16" s="20">
        <v>251070</v>
      </c>
      <c r="C16" s="20">
        <v>261592</v>
      </c>
      <c r="D16" s="20">
        <v>0</v>
      </c>
      <c r="E16" s="20">
        <v>0</v>
      </c>
      <c r="F16" s="20">
        <v>261592</v>
      </c>
      <c r="G16" s="43">
        <v>264966</v>
      </c>
    </row>
    <row r="17" spans="1:7" x14ac:dyDescent="0.2">
      <c r="A17" s="42" t="s">
        <v>156</v>
      </c>
      <c r="B17" s="20">
        <v>31068</v>
      </c>
      <c r="C17" s="20">
        <v>32242</v>
      </c>
      <c r="D17" s="20">
        <v>0</v>
      </c>
      <c r="E17" s="20">
        <v>0</v>
      </c>
      <c r="F17" s="20">
        <v>32242</v>
      </c>
      <c r="G17" s="43">
        <v>32658</v>
      </c>
    </row>
    <row r="18" spans="1:7" x14ac:dyDescent="0.2">
      <c r="A18" s="42" t="s">
        <v>157</v>
      </c>
      <c r="B18" s="20">
        <v>38433</v>
      </c>
      <c r="C18" s="20">
        <v>39158</v>
      </c>
      <c r="D18" s="20">
        <v>0</v>
      </c>
      <c r="E18" s="20">
        <v>0</v>
      </c>
      <c r="F18" s="20">
        <v>39158</v>
      </c>
      <c r="G18" s="43">
        <v>39663</v>
      </c>
    </row>
    <row r="19" spans="1:7" x14ac:dyDescent="0.2">
      <c r="A19" s="42" t="s">
        <v>158</v>
      </c>
      <c r="B19" s="20">
        <v>398825</v>
      </c>
      <c r="C19" s="20">
        <v>414048</v>
      </c>
      <c r="D19" s="20">
        <v>0</v>
      </c>
      <c r="E19" s="20">
        <v>0</v>
      </c>
      <c r="F19" s="20">
        <v>414048</v>
      </c>
      <c r="G19" s="43">
        <v>419388</v>
      </c>
    </row>
    <row r="20" spans="1:7" x14ac:dyDescent="0.2">
      <c r="A20" s="42" t="s">
        <v>159</v>
      </c>
      <c r="B20" s="20">
        <v>155382</v>
      </c>
      <c r="C20" s="20">
        <v>160001</v>
      </c>
      <c r="D20" s="20">
        <v>0</v>
      </c>
      <c r="E20" s="20">
        <v>0</v>
      </c>
      <c r="F20" s="20">
        <v>160001</v>
      </c>
      <c r="G20" s="43">
        <v>162065</v>
      </c>
    </row>
    <row r="21" spans="1:7" x14ac:dyDescent="0.2">
      <c r="A21" s="42" t="s">
        <v>160</v>
      </c>
      <c r="B21" s="20">
        <v>79969</v>
      </c>
      <c r="C21" s="20">
        <v>81478</v>
      </c>
      <c r="D21" s="20">
        <v>0</v>
      </c>
      <c r="E21" s="20">
        <v>0</v>
      </c>
      <c r="F21" s="20">
        <v>81478</v>
      </c>
      <c r="G21" s="43">
        <v>82529</v>
      </c>
    </row>
    <row r="22" spans="1:7" x14ac:dyDescent="0.2">
      <c r="A22" s="42" t="s">
        <v>161</v>
      </c>
      <c r="B22" s="20">
        <v>77495</v>
      </c>
      <c r="C22" s="20">
        <v>78957</v>
      </c>
      <c r="D22" s="20">
        <v>0</v>
      </c>
      <c r="E22" s="20">
        <v>0</v>
      </c>
      <c r="F22" s="20">
        <v>78957</v>
      </c>
      <c r="G22" s="43">
        <v>79975</v>
      </c>
    </row>
    <row r="23" spans="1:7" x14ac:dyDescent="0.2">
      <c r="A23" s="42" t="s">
        <v>162</v>
      </c>
      <c r="B23" s="20">
        <v>182322</v>
      </c>
      <c r="C23" s="20">
        <v>185764</v>
      </c>
      <c r="D23" s="20">
        <v>0</v>
      </c>
      <c r="E23" s="20">
        <v>0</v>
      </c>
      <c r="F23" s="20">
        <v>185764</v>
      </c>
      <c r="G23" s="43">
        <v>188159</v>
      </c>
    </row>
    <row r="24" spans="1:7" x14ac:dyDescent="0.2">
      <c r="A24" s="42" t="s">
        <v>163</v>
      </c>
      <c r="B24" s="20">
        <v>205978</v>
      </c>
      <c r="C24" s="20">
        <v>211575</v>
      </c>
      <c r="D24" s="20">
        <v>0</v>
      </c>
      <c r="E24" s="20">
        <v>0</v>
      </c>
      <c r="F24" s="20">
        <v>211575</v>
      </c>
      <c r="G24" s="43">
        <v>214303</v>
      </c>
    </row>
    <row r="25" spans="1:7" x14ac:dyDescent="0.2">
      <c r="A25" s="42" t="s">
        <v>164</v>
      </c>
      <c r="B25" s="20">
        <v>43011</v>
      </c>
      <c r="C25" s="20">
        <v>43823</v>
      </c>
      <c r="D25" s="20">
        <v>0</v>
      </c>
      <c r="E25" s="20">
        <v>0</v>
      </c>
      <c r="F25" s="20">
        <v>43823</v>
      </c>
      <c r="G25" s="43">
        <v>44388</v>
      </c>
    </row>
    <row r="26" spans="1:7" x14ac:dyDescent="0.2">
      <c r="A26" s="42" t="s">
        <v>165</v>
      </c>
      <c r="B26" s="20">
        <v>115687</v>
      </c>
      <c r="C26" s="20">
        <v>119162</v>
      </c>
      <c r="D26" s="20">
        <v>0</v>
      </c>
      <c r="E26" s="20">
        <v>0</v>
      </c>
      <c r="F26" s="20">
        <v>119162</v>
      </c>
      <c r="G26" s="43">
        <v>120699</v>
      </c>
    </row>
    <row r="27" spans="1:7" x14ac:dyDescent="0.2">
      <c r="A27" s="42" t="s">
        <v>166</v>
      </c>
      <c r="B27" s="20">
        <v>157969</v>
      </c>
      <c r="C27" s="20">
        <v>163508</v>
      </c>
      <c r="D27" s="20">
        <v>0</v>
      </c>
      <c r="E27" s="20">
        <v>0</v>
      </c>
      <c r="F27" s="20">
        <v>163508</v>
      </c>
      <c r="G27" s="43">
        <v>165616</v>
      </c>
    </row>
    <row r="28" spans="1:7" x14ac:dyDescent="0.2">
      <c r="A28" s="42" t="s">
        <v>167</v>
      </c>
      <c r="B28" s="20">
        <v>363401</v>
      </c>
      <c r="C28" s="20">
        <v>371744</v>
      </c>
      <c r="D28" s="20">
        <v>0</v>
      </c>
      <c r="E28" s="20">
        <v>0</v>
      </c>
      <c r="F28" s="20">
        <v>371744</v>
      </c>
      <c r="G28" s="43">
        <v>376539</v>
      </c>
    </row>
    <row r="29" spans="1:7" x14ac:dyDescent="0.2">
      <c r="A29" s="42" t="s">
        <v>168</v>
      </c>
      <c r="B29" s="20">
        <v>120590</v>
      </c>
      <c r="C29" s="20">
        <v>124418</v>
      </c>
      <c r="D29" s="20">
        <v>0</v>
      </c>
      <c r="E29" s="20">
        <v>0</v>
      </c>
      <c r="F29" s="20">
        <v>124418</v>
      </c>
      <c r="G29" s="43">
        <v>126023</v>
      </c>
    </row>
    <row r="30" spans="1:7" x14ac:dyDescent="0.2">
      <c r="A30" s="42" t="s">
        <v>169</v>
      </c>
      <c r="B30" s="20">
        <v>221611</v>
      </c>
      <c r="C30" s="20">
        <v>227384</v>
      </c>
      <c r="D30" s="20">
        <v>0</v>
      </c>
      <c r="E30" s="20">
        <v>0</v>
      </c>
      <c r="F30" s="20">
        <v>227384</v>
      </c>
      <c r="G30" s="43">
        <v>230316</v>
      </c>
    </row>
    <row r="31" spans="1:7" x14ac:dyDescent="0.2">
      <c r="A31" s="42" t="s">
        <v>170</v>
      </c>
      <c r="B31" s="20">
        <v>183831</v>
      </c>
      <c r="C31" s="20">
        <v>189498</v>
      </c>
      <c r="D31" s="20">
        <v>0</v>
      </c>
      <c r="E31" s="20">
        <v>0</v>
      </c>
      <c r="F31" s="20">
        <v>189498</v>
      </c>
      <c r="G31" s="43">
        <v>191942</v>
      </c>
    </row>
    <row r="32" spans="1:7" x14ac:dyDescent="0.2">
      <c r="A32" s="42" t="s">
        <v>171</v>
      </c>
      <c r="B32" s="20">
        <v>36865</v>
      </c>
      <c r="C32" s="20">
        <v>37561</v>
      </c>
      <c r="D32" s="20">
        <v>0</v>
      </c>
      <c r="E32" s="20">
        <v>0</v>
      </c>
      <c r="F32" s="20">
        <v>37561</v>
      </c>
      <c r="G32" s="43">
        <v>38045</v>
      </c>
    </row>
    <row r="33" spans="1:7" x14ac:dyDescent="0.2">
      <c r="A33" s="42" t="s">
        <v>172</v>
      </c>
      <c r="B33" s="20">
        <v>59397</v>
      </c>
      <c r="C33" s="20">
        <v>62138</v>
      </c>
      <c r="D33" s="20">
        <v>0</v>
      </c>
      <c r="E33" s="20">
        <v>0</v>
      </c>
      <c r="F33" s="20">
        <v>62138</v>
      </c>
      <c r="G33" s="43">
        <v>62940</v>
      </c>
    </row>
    <row r="34" spans="1:7" x14ac:dyDescent="0.2">
      <c r="A34" s="42" t="s">
        <v>173</v>
      </c>
      <c r="B34" s="20">
        <v>41172</v>
      </c>
      <c r="C34" s="20">
        <v>41949</v>
      </c>
      <c r="D34" s="20">
        <v>0</v>
      </c>
      <c r="E34" s="20">
        <v>0</v>
      </c>
      <c r="F34" s="20">
        <v>41949</v>
      </c>
      <c r="G34" s="43">
        <v>42490</v>
      </c>
    </row>
    <row r="35" spans="1:7" x14ac:dyDescent="0.2">
      <c r="A35" s="42" t="s">
        <v>174</v>
      </c>
      <c r="B35" s="20">
        <v>20815</v>
      </c>
      <c r="C35" s="20">
        <v>21208</v>
      </c>
      <c r="D35" s="20">
        <v>0</v>
      </c>
      <c r="E35" s="20">
        <v>0</v>
      </c>
      <c r="F35" s="20">
        <v>21208</v>
      </c>
      <c r="G35" s="43">
        <v>21481</v>
      </c>
    </row>
    <row r="36" spans="1:7" x14ac:dyDescent="0.2">
      <c r="A36" s="42" t="s">
        <v>175</v>
      </c>
      <c r="B36" s="20">
        <v>187083</v>
      </c>
      <c r="C36" s="20">
        <v>194805</v>
      </c>
      <c r="D36" s="20">
        <v>0</v>
      </c>
      <c r="E36" s="20">
        <v>0</v>
      </c>
      <c r="F36" s="20">
        <v>194805</v>
      </c>
      <c r="G36" s="43">
        <v>197317</v>
      </c>
    </row>
    <row r="37" spans="1:7" x14ac:dyDescent="0.2">
      <c r="A37" s="42" t="s">
        <v>176</v>
      </c>
      <c r="B37" s="20">
        <v>75634</v>
      </c>
      <c r="C37" s="20">
        <v>78518</v>
      </c>
      <c r="D37" s="20">
        <v>0</v>
      </c>
      <c r="E37" s="20">
        <v>0</v>
      </c>
      <c r="F37" s="20">
        <v>78518</v>
      </c>
      <c r="G37" s="43">
        <v>79531</v>
      </c>
    </row>
    <row r="38" spans="1:7" x14ac:dyDescent="0.2">
      <c r="A38" s="42" t="s">
        <v>177</v>
      </c>
      <c r="B38" s="20">
        <v>614382</v>
      </c>
      <c r="C38" s="20">
        <v>629528</v>
      </c>
      <c r="D38" s="20">
        <v>0</v>
      </c>
      <c r="E38" s="20">
        <v>0</v>
      </c>
      <c r="F38" s="20">
        <v>629528</v>
      </c>
      <c r="G38" s="43">
        <v>637647</v>
      </c>
    </row>
    <row r="39" spans="1:7" x14ac:dyDescent="0.2">
      <c r="A39" s="42" t="s">
        <v>178</v>
      </c>
      <c r="B39" s="20">
        <v>230153</v>
      </c>
      <c r="C39" s="20">
        <v>242459</v>
      </c>
      <c r="D39" s="20">
        <v>0</v>
      </c>
      <c r="E39" s="20">
        <v>0</v>
      </c>
      <c r="F39" s="20">
        <v>242459</v>
      </c>
      <c r="G39" s="43">
        <v>245586</v>
      </c>
    </row>
    <row r="40" spans="1:7" x14ac:dyDescent="0.2">
      <c r="A40" s="42" t="s">
        <v>179</v>
      </c>
      <c r="B40" s="20">
        <v>24756</v>
      </c>
      <c r="C40" s="20">
        <v>25223</v>
      </c>
      <c r="D40" s="20">
        <v>0</v>
      </c>
      <c r="E40" s="20">
        <v>0</v>
      </c>
      <c r="F40" s="20">
        <v>25223</v>
      </c>
      <c r="G40" s="43">
        <v>25549</v>
      </c>
    </row>
    <row r="41" spans="1:7" x14ac:dyDescent="0.2">
      <c r="A41" s="42" t="s">
        <v>180</v>
      </c>
      <c r="B41" s="20">
        <v>376222</v>
      </c>
      <c r="C41" s="20">
        <v>386473</v>
      </c>
      <c r="D41" s="20">
        <v>0</v>
      </c>
      <c r="E41" s="20">
        <v>0</v>
      </c>
      <c r="F41" s="20">
        <v>386473</v>
      </c>
      <c r="G41" s="43">
        <v>391457</v>
      </c>
    </row>
    <row r="42" spans="1:7" x14ac:dyDescent="0.2">
      <c r="A42" s="42" t="s">
        <v>181</v>
      </c>
      <c r="B42" s="20">
        <v>134239</v>
      </c>
      <c r="C42" s="20">
        <v>138759</v>
      </c>
      <c r="D42" s="20">
        <v>0</v>
      </c>
      <c r="E42" s="20">
        <v>0</v>
      </c>
      <c r="F42" s="20">
        <v>138759</v>
      </c>
      <c r="G42" s="43">
        <v>140549</v>
      </c>
    </row>
    <row r="43" spans="1:7" x14ac:dyDescent="0.2">
      <c r="A43" s="42" t="s">
        <v>182</v>
      </c>
      <c r="B43" s="20">
        <v>104126</v>
      </c>
      <c r="C43" s="20">
        <v>106091</v>
      </c>
      <c r="D43" s="20">
        <v>0</v>
      </c>
      <c r="E43" s="20">
        <v>0</v>
      </c>
      <c r="F43" s="20">
        <v>106091</v>
      </c>
      <c r="G43" s="43">
        <v>107459</v>
      </c>
    </row>
    <row r="44" spans="1:7" x14ac:dyDescent="0.2">
      <c r="A44" s="42" t="s">
        <v>183</v>
      </c>
      <c r="B44" s="20">
        <v>356967</v>
      </c>
      <c r="C44" s="20">
        <v>366473</v>
      </c>
      <c r="D44" s="20">
        <v>0</v>
      </c>
      <c r="E44" s="20">
        <v>0</v>
      </c>
      <c r="F44" s="20">
        <v>366473</v>
      </c>
      <c r="G44" s="43">
        <v>371199</v>
      </c>
    </row>
    <row r="45" spans="1:7" x14ac:dyDescent="0.2">
      <c r="A45" s="42" t="s">
        <v>184</v>
      </c>
      <c r="B45" s="20">
        <v>33941</v>
      </c>
      <c r="C45" s="20">
        <v>34581</v>
      </c>
      <c r="D45" s="20">
        <v>0</v>
      </c>
      <c r="E45" s="20">
        <v>0</v>
      </c>
      <c r="F45" s="20">
        <v>34581</v>
      </c>
      <c r="G45" s="43">
        <v>35027</v>
      </c>
    </row>
    <row r="46" spans="1:7" x14ac:dyDescent="0.2">
      <c r="A46" s="42" t="s">
        <v>185</v>
      </c>
      <c r="B46" s="20">
        <v>131256</v>
      </c>
      <c r="C46" s="20">
        <v>133735</v>
      </c>
      <c r="D46" s="20">
        <v>0</v>
      </c>
      <c r="E46" s="20">
        <v>0</v>
      </c>
      <c r="F46" s="20">
        <v>133735</v>
      </c>
      <c r="G46" s="43">
        <v>135459</v>
      </c>
    </row>
    <row r="47" spans="1:7" x14ac:dyDescent="0.2">
      <c r="A47" s="42" t="s">
        <v>186</v>
      </c>
      <c r="B47" s="20">
        <v>28241</v>
      </c>
      <c r="C47" s="20">
        <v>28774</v>
      </c>
      <c r="D47" s="20">
        <v>0</v>
      </c>
      <c r="E47" s="20">
        <v>0</v>
      </c>
      <c r="F47" s="20">
        <v>28774</v>
      </c>
      <c r="G47" s="43">
        <v>29145</v>
      </c>
    </row>
    <row r="48" spans="1:7" x14ac:dyDescent="0.2">
      <c r="A48" s="42" t="s">
        <v>187</v>
      </c>
      <c r="B48" s="20">
        <v>181068</v>
      </c>
      <c r="C48" s="20">
        <v>184485</v>
      </c>
      <c r="D48" s="20">
        <v>0</v>
      </c>
      <c r="E48" s="20">
        <v>0</v>
      </c>
      <c r="F48" s="20">
        <v>184485</v>
      </c>
      <c r="G48" s="43">
        <v>186864</v>
      </c>
    </row>
    <row r="49" spans="1:7" x14ac:dyDescent="0.2">
      <c r="A49" s="42" t="s">
        <v>188</v>
      </c>
      <c r="B49" s="20">
        <v>706245</v>
      </c>
      <c r="C49" s="20">
        <v>731381</v>
      </c>
      <c r="D49" s="20">
        <v>0</v>
      </c>
      <c r="E49" s="20">
        <v>0</v>
      </c>
      <c r="F49" s="20">
        <v>731381</v>
      </c>
      <c r="G49" s="43">
        <v>740813</v>
      </c>
    </row>
    <row r="50" spans="1:7" x14ac:dyDescent="0.2">
      <c r="A50" s="42" t="s">
        <v>189</v>
      </c>
      <c r="B50" s="20">
        <v>73470</v>
      </c>
      <c r="C50" s="20">
        <v>75751</v>
      </c>
      <c r="D50" s="20">
        <v>0</v>
      </c>
      <c r="E50" s="20">
        <v>0</v>
      </c>
      <c r="F50" s="20">
        <v>75751</v>
      </c>
      <c r="G50" s="43">
        <v>76728</v>
      </c>
    </row>
    <row r="51" spans="1:7" x14ac:dyDescent="0.2">
      <c r="A51" s="42" t="s">
        <v>190</v>
      </c>
      <c r="B51" s="20">
        <v>23512</v>
      </c>
      <c r="C51" s="20">
        <v>24556</v>
      </c>
      <c r="D51" s="20">
        <v>0</v>
      </c>
      <c r="E51" s="20">
        <v>0</v>
      </c>
      <c r="F51" s="20">
        <v>24556</v>
      </c>
      <c r="G51" s="43">
        <v>24872</v>
      </c>
    </row>
    <row r="52" spans="1:7" x14ac:dyDescent="0.2">
      <c r="A52" s="42" t="s">
        <v>191</v>
      </c>
      <c r="B52" s="20">
        <v>149226</v>
      </c>
      <c r="C52" s="20">
        <v>154436</v>
      </c>
      <c r="D52" s="20">
        <v>0</v>
      </c>
      <c r="E52" s="20">
        <v>0</v>
      </c>
      <c r="F52" s="20">
        <v>154436</v>
      </c>
      <c r="G52" s="43">
        <v>156427</v>
      </c>
    </row>
    <row r="53" spans="1:7" x14ac:dyDescent="0.2">
      <c r="A53" s="42" t="s">
        <v>192</v>
      </c>
      <c r="B53" s="20">
        <v>172001</v>
      </c>
      <c r="C53" s="20">
        <v>177831</v>
      </c>
      <c r="D53" s="20">
        <v>0</v>
      </c>
      <c r="E53" s="20">
        <v>0</v>
      </c>
      <c r="F53" s="20">
        <v>177831</v>
      </c>
      <c r="G53" s="43">
        <v>180125</v>
      </c>
    </row>
    <row r="54" spans="1:7" x14ac:dyDescent="0.2">
      <c r="A54" s="42" t="s">
        <v>193</v>
      </c>
      <c r="B54" s="20">
        <v>74395</v>
      </c>
      <c r="C54" s="20">
        <v>75799</v>
      </c>
      <c r="D54" s="20">
        <v>0</v>
      </c>
      <c r="E54" s="20">
        <v>0</v>
      </c>
      <c r="F54" s="20">
        <v>75799</v>
      </c>
      <c r="G54" s="43">
        <v>76776</v>
      </c>
    </row>
    <row r="55" spans="1:7" x14ac:dyDescent="0.2">
      <c r="A55" s="42" t="s">
        <v>194</v>
      </c>
      <c r="B55" s="20">
        <v>152260</v>
      </c>
      <c r="C55" s="20">
        <v>155133</v>
      </c>
      <c r="D55" s="20">
        <v>0</v>
      </c>
      <c r="E55" s="20">
        <v>0</v>
      </c>
      <c r="F55" s="20">
        <v>155133</v>
      </c>
      <c r="G55" s="43">
        <v>157134</v>
      </c>
    </row>
    <row r="56" spans="1:7" x14ac:dyDescent="0.2">
      <c r="A56" s="42" t="s">
        <v>195</v>
      </c>
      <c r="B56" s="20">
        <v>20939</v>
      </c>
      <c r="C56" s="20">
        <v>21334</v>
      </c>
      <c r="D56" s="20">
        <v>0</v>
      </c>
      <c r="E56" s="20">
        <v>0</v>
      </c>
      <c r="F56" s="20">
        <v>21334</v>
      </c>
      <c r="G56" s="43">
        <v>21609</v>
      </c>
    </row>
    <row r="57" spans="1:7" x14ac:dyDescent="0.2">
      <c r="A57" s="42" t="s">
        <v>196</v>
      </c>
      <c r="B57" s="20">
        <v>4405</v>
      </c>
      <c r="C57" s="20">
        <v>4489</v>
      </c>
      <c r="D57" s="20">
        <v>0</v>
      </c>
      <c r="E57" s="20">
        <v>0</v>
      </c>
      <c r="F57" s="20">
        <v>4489</v>
      </c>
      <c r="G57" s="43">
        <v>4546</v>
      </c>
    </row>
    <row r="58" spans="1:7" x14ac:dyDescent="0.2">
      <c r="A58" s="42" t="s">
        <v>197</v>
      </c>
      <c r="B58" s="20">
        <v>3704</v>
      </c>
      <c r="C58" s="20">
        <v>3774</v>
      </c>
      <c r="D58" s="20">
        <v>0</v>
      </c>
      <c r="E58" s="20">
        <v>0</v>
      </c>
      <c r="F58" s="20">
        <v>3774</v>
      </c>
      <c r="G58" s="43">
        <v>3823</v>
      </c>
    </row>
    <row r="59" spans="1:7" x14ac:dyDescent="0.2">
      <c r="A59" s="42" t="s">
        <v>198</v>
      </c>
      <c r="B59" s="20">
        <v>3589</v>
      </c>
      <c r="C59" s="20">
        <v>3657</v>
      </c>
      <c r="D59" s="20">
        <v>0</v>
      </c>
      <c r="E59" s="20">
        <v>0</v>
      </c>
      <c r="F59" s="20">
        <v>3657</v>
      </c>
      <c r="G59" s="43">
        <v>3704</v>
      </c>
    </row>
    <row r="60" spans="1:7" x14ac:dyDescent="0.2">
      <c r="A60" s="42" t="s">
        <v>199</v>
      </c>
      <c r="B60" s="20">
        <v>323185</v>
      </c>
      <c r="C60" s="20">
        <v>330687</v>
      </c>
      <c r="D60" s="20">
        <v>0</v>
      </c>
      <c r="E60" s="20">
        <v>0</v>
      </c>
      <c r="F60" s="20">
        <v>330687</v>
      </c>
      <c r="G60" s="43">
        <v>334952</v>
      </c>
    </row>
    <row r="61" spans="1:7" x14ac:dyDescent="0.2">
      <c r="A61" s="42" t="s">
        <v>200</v>
      </c>
      <c r="B61" s="20">
        <v>0</v>
      </c>
      <c r="C61" s="20">
        <v>0</v>
      </c>
      <c r="D61" s="20">
        <v>0</v>
      </c>
      <c r="E61" s="20">
        <v>0</v>
      </c>
      <c r="F61" s="20">
        <v>0</v>
      </c>
      <c r="G61" s="43">
        <v>0</v>
      </c>
    </row>
    <row r="62" spans="1:7" x14ac:dyDescent="0.2">
      <c r="A62" s="42" t="s">
        <v>201</v>
      </c>
      <c r="B62" s="20">
        <v>10870</v>
      </c>
      <c r="C62" s="20">
        <v>11075</v>
      </c>
      <c r="D62" s="20">
        <v>0</v>
      </c>
      <c r="E62" s="20">
        <v>0</v>
      </c>
      <c r="F62" s="20">
        <v>11075</v>
      </c>
      <c r="G62" s="43">
        <v>11218</v>
      </c>
    </row>
    <row r="63" spans="1:7" x14ac:dyDescent="0.2">
      <c r="A63" s="42" t="s">
        <v>202</v>
      </c>
      <c r="B63" s="20">
        <v>313361</v>
      </c>
      <c r="C63" s="20">
        <v>316684</v>
      </c>
      <c r="D63" s="20">
        <v>0</v>
      </c>
      <c r="E63" s="20">
        <v>0</v>
      </c>
      <c r="F63" s="20">
        <v>316684</v>
      </c>
      <c r="G63" s="43">
        <v>320768</v>
      </c>
    </row>
    <row r="64" spans="1:7" x14ac:dyDescent="0.2">
      <c r="A64" s="42" t="s">
        <v>203</v>
      </c>
      <c r="B64" s="20">
        <v>0</v>
      </c>
      <c r="C64" s="20">
        <v>0</v>
      </c>
      <c r="D64" s="20">
        <v>0</v>
      </c>
      <c r="E64" s="20">
        <v>0</v>
      </c>
      <c r="F64" s="20">
        <v>0</v>
      </c>
      <c r="G64" s="43">
        <v>0</v>
      </c>
    </row>
    <row r="65" spans="1:7" ht="15" customHeight="1" x14ac:dyDescent="0.2">
      <c r="A65" s="44" t="s">
        <v>204</v>
      </c>
      <c r="B65" s="45">
        <v>9717863</v>
      </c>
      <c r="C65" s="45">
        <v>9998250</v>
      </c>
      <c r="D65" s="45">
        <v>0</v>
      </c>
      <c r="E65" s="45">
        <v>0</v>
      </c>
      <c r="F65" s="45">
        <v>9998250</v>
      </c>
      <c r="G65" s="51">
        <v>10127191</v>
      </c>
    </row>
    <row r="66" spans="1:7" ht="15" customHeight="1" x14ac:dyDescent="0.2">
      <c r="A66" s="101" t="s">
        <v>205</v>
      </c>
      <c r="B66" s="101"/>
      <c r="C66" s="101"/>
      <c r="D66" s="101"/>
      <c r="E66" s="101"/>
      <c r="F66" s="101"/>
      <c r="G66" s="101"/>
    </row>
    <row r="67" spans="1:7" ht="15.75" customHeight="1" x14ac:dyDescent="0.2">
      <c r="A67" s="102" t="s">
        <v>589</v>
      </c>
      <c r="B67" s="102"/>
      <c r="C67" s="102"/>
      <c r="D67" s="102"/>
      <c r="E67" s="102"/>
      <c r="F67" s="102"/>
      <c r="G67" s="102"/>
    </row>
    <row r="68" spans="1:7" ht="30" customHeight="1" x14ac:dyDescent="0.2">
      <c r="A68" s="102" t="s">
        <v>590</v>
      </c>
      <c r="B68" s="102"/>
      <c r="C68" s="102"/>
      <c r="D68" s="102"/>
      <c r="E68" s="102"/>
      <c r="F68" s="102"/>
      <c r="G68" s="102"/>
    </row>
    <row r="69" spans="1:7" ht="29.25" customHeight="1" x14ac:dyDescent="0.2">
      <c r="A69" s="102" t="s">
        <v>591</v>
      </c>
      <c r="B69" s="102"/>
      <c r="C69" s="102"/>
      <c r="D69" s="102"/>
      <c r="E69" s="102"/>
      <c r="F69" s="102"/>
      <c r="G69" s="102"/>
    </row>
  </sheetData>
  <mergeCells count="8">
    <mergeCell ref="A68:G68"/>
    <mergeCell ref="A69:G69"/>
    <mergeCell ref="A4:A5"/>
    <mergeCell ref="B4:B5"/>
    <mergeCell ref="F4:F5"/>
    <mergeCell ref="G4:G5"/>
    <mergeCell ref="A66:G66"/>
    <mergeCell ref="A67:G67"/>
  </mergeCell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225</v>
      </c>
    </row>
    <row r="2" spans="1:7" x14ac:dyDescent="0.2">
      <c r="A2" s="17" t="s">
        <v>343</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42470</v>
      </c>
      <c r="C6" s="20">
        <v>45957</v>
      </c>
      <c r="D6" s="20">
        <v>0</v>
      </c>
      <c r="E6" s="20">
        <v>0</v>
      </c>
      <c r="F6" s="20">
        <v>45957</v>
      </c>
      <c r="G6" s="43">
        <v>46228</v>
      </c>
    </row>
    <row r="7" spans="1:7" x14ac:dyDescent="0.2">
      <c r="A7" s="42" t="s">
        <v>146</v>
      </c>
      <c r="B7" s="20">
        <v>20542</v>
      </c>
      <c r="C7" s="20">
        <v>22229</v>
      </c>
      <c r="D7" s="20">
        <v>0</v>
      </c>
      <c r="E7" s="20">
        <v>0</v>
      </c>
      <c r="F7" s="20">
        <v>22229</v>
      </c>
      <c r="G7" s="43">
        <v>22360</v>
      </c>
    </row>
    <row r="8" spans="1:7" x14ac:dyDescent="0.2">
      <c r="A8" s="42" t="s">
        <v>147</v>
      </c>
      <c r="B8" s="20">
        <v>169657</v>
      </c>
      <c r="C8" s="20">
        <v>183585</v>
      </c>
      <c r="D8" s="20">
        <v>0</v>
      </c>
      <c r="E8" s="20">
        <v>0</v>
      </c>
      <c r="F8" s="20">
        <v>183585</v>
      </c>
      <c r="G8" s="43">
        <v>184668</v>
      </c>
    </row>
    <row r="9" spans="1:7" x14ac:dyDescent="0.2">
      <c r="A9" s="42" t="s">
        <v>148</v>
      </c>
      <c r="B9" s="20">
        <v>39738</v>
      </c>
      <c r="C9" s="20">
        <v>43000</v>
      </c>
      <c r="D9" s="20">
        <v>0</v>
      </c>
      <c r="E9" s="20">
        <v>0</v>
      </c>
      <c r="F9" s="20">
        <v>43000</v>
      </c>
      <c r="G9" s="43">
        <v>43254</v>
      </c>
    </row>
    <row r="10" spans="1:7" x14ac:dyDescent="0.2">
      <c r="A10" s="42" t="s">
        <v>149</v>
      </c>
      <c r="B10" s="20">
        <v>1319459</v>
      </c>
      <c r="C10" s="20">
        <v>1427786</v>
      </c>
      <c r="D10" s="20">
        <v>0</v>
      </c>
      <c r="E10" s="20">
        <v>0</v>
      </c>
      <c r="F10" s="20">
        <v>1427786</v>
      </c>
      <c r="G10" s="43">
        <v>1436207</v>
      </c>
    </row>
    <row r="11" spans="1:7" x14ac:dyDescent="0.2">
      <c r="A11" s="42" t="s">
        <v>150</v>
      </c>
      <c r="B11" s="20">
        <v>90632</v>
      </c>
      <c r="C11" s="20">
        <v>98073</v>
      </c>
      <c r="D11" s="20">
        <v>0</v>
      </c>
      <c r="E11" s="20">
        <v>0</v>
      </c>
      <c r="F11" s="20">
        <v>98073</v>
      </c>
      <c r="G11" s="43">
        <v>98651</v>
      </c>
    </row>
    <row r="12" spans="1:7" x14ac:dyDescent="0.2">
      <c r="A12" s="42" t="s">
        <v>151</v>
      </c>
      <c r="B12" s="20">
        <v>79768</v>
      </c>
      <c r="C12" s="20">
        <v>86317</v>
      </c>
      <c r="D12" s="20">
        <v>0</v>
      </c>
      <c r="E12" s="20">
        <v>0</v>
      </c>
      <c r="F12" s="20">
        <v>86317</v>
      </c>
      <c r="G12" s="43">
        <v>86826</v>
      </c>
    </row>
    <row r="13" spans="1:7" x14ac:dyDescent="0.2">
      <c r="A13" s="42" t="s">
        <v>152</v>
      </c>
      <c r="B13" s="20">
        <v>2419</v>
      </c>
      <c r="C13" s="20">
        <v>2618</v>
      </c>
      <c r="D13" s="20">
        <v>0</v>
      </c>
      <c r="E13" s="20">
        <v>0</v>
      </c>
      <c r="F13" s="20">
        <v>2618</v>
      </c>
      <c r="G13" s="43">
        <v>2633</v>
      </c>
    </row>
    <row r="14" spans="1:7" x14ac:dyDescent="0.2">
      <c r="A14" s="42" t="s">
        <v>153</v>
      </c>
      <c r="B14" s="20">
        <v>32969</v>
      </c>
      <c r="C14" s="20">
        <v>35676</v>
      </c>
      <c r="D14" s="20">
        <v>0</v>
      </c>
      <c r="E14" s="20">
        <v>0</v>
      </c>
      <c r="F14" s="20">
        <v>35676</v>
      </c>
      <c r="G14" s="43">
        <v>35887</v>
      </c>
    </row>
    <row r="15" spans="1:7" x14ac:dyDescent="0.2">
      <c r="A15" s="42" t="s">
        <v>154</v>
      </c>
      <c r="B15" s="20">
        <v>200938</v>
      </c>
      <c r="C15" s="20">
        <v>217435</v>
      </c>
      <c r="D15" s="20">
        <v>0</v>
      </c>
      <c r="E15" s="20">
        <v>0</v>
      </c>
      <c r="F15" s="20">
        <v>217435</v>
      </c>
      <c r="G15" s="43">
        <v>218718</v>
      </c>
    </row>
    <row r="16" spans="1:7" x14ac:dyDescent="0.2">
      <c r="A16" s="42" t="s">
        <v>155</v>
      </c>
      <c r="B16" s="20">
        <v>93085</v>
      </c>
      <c r="C16" s="20">
        <v>100727</v>
      </c>
      <c r="D16" s="20">
        <v>0</v>
      </c>
      <c r="E16" s="20">
        <v>0</v>
      </c>
      <c r="F16" s="20">
        <v>100727</v>
      </c>
      <c r="G16" s="43">
        <v>101321</v>
      </c>
    </row>
    <row r="17" spans="1:7" x14ac:dyDescent="0.2">
      <c r="A17" s="42" t="s">
        <v>156</v>
      </c>
      <c r="B17" s="20">
        <v>17454</v>
      </c>
      <c r="C17" s="20">
        <v>18887</v>
      </c>
      <c r="D17" s="20">
        <v>0</v>
      </c>
      <c r="E17" s="20">
        <v>0</v>
      </c>
      <c r="F17" s="20">
        <v>18887</v>
      </c>
      <c r="G17" s="43">
        <v>18999</v>
      </c>
    </row>
    <row r="18" spans="1:7" x14ac:dyDescent="0.2">
      <c r="A18" s="42" t="s">
        <v>157</v>
      </c>
      <c r="B18" s="20">
        <v>16557</v>
      </c>
      <c r="C18" s="20">
        <v>17916</v>
      </c>
      <c r="D18" s="20">
        <v>0</v>
      </c>
      <c r="E18" s="20">
        <v>0</v>
      </c>
      <c r="F18" s="20">
        <v>17916</v>
      </c>
      <c r="G18" s="43">
        <v>18022</v>
      </c>
    </row>
    <row r="19" spans="1:7" x14ac:dyDescent="0.2">
      <c r="A19" s="42" t="s">
        <v>158</v>
      </c>
      <c r="B19" s="20">
        <v>137886</v>
      </c>
      <c r="C19" s="20">
        <v>149206</v>
      </c>
      <c r="D19" s="20">
        <v>0</v>
      </c>
      <c r="E19" s="20">
        <v>0</v>
      </c>
      <c r="F19" s="20">
        <v>149206</v>
      </c>
      <c r="G19" s="43">
        <v>150086</v>
      </c>
    </row>
    <row r="20" spans="1:7" x14ac:dyDescent="0.2">
      <c r="A20" s="42" t="s">
        <v>159</v>
      </c>
      <c r="B20" s="20">
        <v>97041</v>
      </c>
      <c r="C20" s="20">
        <v>105008</v>
      </c>
      <c r="D20" s="20">
        <v>0</v>
      </c>
      <c r="E20" s="20">
        <v>0</v>
      </c>
      <c r="F20" s="20">
        <v>105008</v>
      </c>
      <c r="G20" s="43">
        <v>105627</v>
      </c>
    </row>
    <row r="21" spans="1:7" x14ac:dyDescent="0.2">
      <c r="A21" s="42" t="s">
        <v>160</v>
      </c>
      <c r="B21" s="20">
        <v>21401</v>
      </c>
      <c r="C21" s="20">
        <v>23158</v>
      </c>
      <c r="D21" s="20">
        <v>0</v>
      </c>
      <c r="E21" s="20">
        <v>0</v>
      </c>
      <c r="F21" s="20">
        <v>23158</v>
      </c>
      <c r="G21" s="43">
        <v>23295</v>
      </c>
    </row>
    <row r="22" spans="1:7" x14ac:dyDescent="0.2">
      <c r="A22" s="42" t="s">
        <v>161</v>
      </c>
      <c r="B22" s="20">
        <v>27716</v>
      </c>
      <c r="C22" s="20">
        <v>29992</v>
      </c>
      <c r="D22" s="20">
        <v>0</v>
      </c>
      <c r="E22" s="20">
        <v>0</v>
      </c>
      <c r="F22" s="20">
        <v>29992</v>
      </c>
      <c r="G22" s="43">
        <v>30169</v>
      </c>
    </row>
    <row r="23" spans="1:7" x14ac:dyDescent="0.2">
      <c r="A23" s="42" t="s">
        <v>162</v>
      </c>
      <c r="B23" s="20">
        <v>53865</v>
      </c>
      <c r="C23" s="20">
        <v>58287</v>
      </c>
      <c r="D23" s="20">
        <v>0</v>
      </c>
      <c r="E23" s="20">
        <v>0</v>
      </c>
      <c r="F23" s="20">
        <v>58287</v>
      </c>
      <c r="G23" s="43">
        <v>58631</v>
      </c>
    </row>
    <row r="24" spans="1:7" x14ac:dyDescent="0.2">
      <c r="A24" s="42" t="s">
        <v>163</v>
      </c>
      <c r="B24" s="20">
        <v>45673</v>
      </c>
      <c r="C24" s="20">
        <v>49423</v>
      </c>
      <c r="D24" s="20">
        <v>0</v>
      </c>
      <c r="E24" s="20">
        <v>0</v>
      </c>
      <c r="F24" s="20">
        <v>49423</v>
      </c>
      <c r="G24" s="43">
        <v>49714</v>
      </c>
    </row>
    <row r="25" spans="1:7" x14ac:dyDescent="0.2">
      <c r="A25" s="42" t="s">
        <v>164</v>
      </c>
      <c r="B25" s="20">
        <v>31933</v>
      </c>
      <c r="C25" s="20">
        <v>34555</v>
      </c>
      <c r="D25" s="20">
        <v>0</v>
      </c>
      <c r="E25" s="20">
        <v>0</v>
      </c>
      <c r="F25" s="20">
        <v>34555</v>
      </c>
      <c r="G25" s="43">
        <v>34759</v>
      </c>
    </row>
    <row r="26" spans="1:7" x14ac:dyDescent="0.2">
      <c r="A26" s="42" t="s">
        <v>165</v>
      </c>
      <c r="B26" s="20">
        <v>76942</v>
      </c>
      <c r="C26" s="20">
        <v>83259</v>
      </c>
      <c r="D26" s="20">
        <v>0</v>
      </c>
      <c r="E26" s="20">
        <v>0</v>
      </c>
      <c r="F26" s="20">
        <v>83259</v>
      </c>
      <c r="G26" s="43">
        <v>83750</v>
      </c>
    </row>
    <row r="27" spans="1:7" x14ac:dyDescent="0.2">
      <c r="A27" s="42" t="s">
        <v>166</v>
      </c>
      <c r="B27" s="20">
        <v>150688</v>
      </c>
      <c r="C27" s="20">
        <v>163059</v>
      </c>
      <c r="D27" s="20">
        <v>0</v>
      </c>
      <c r="E27" s="20">
        <v>0</v>
      </c>
      <c r="F27" s="20">
        <v>163059</v>
      </c>
      <c r="G27" s="43">
        <v>164021</v>
      </c>
    </row>
    <row r="28" spans="1:7" x14ac:dyDescent="0.2">
      <c r="A28" s="42" t="s">
        <v>167</v>
      </c>
      <c r="B28" s="20">
        <v>116774</v>
      </c>
      <c r="C28" s="20">
        <v>126362</v>
      </c>
      <c r="D28" s="20">
        <v>0</v>
      </c>
      <c r="E28" s="20">
        <v>0</v>
      </c>
      <c r="F28" s="20">
        <v>126362</v>
      </c>
      <c r="G28" s="43">
        <v>127107</v>
      </c>
    </row>
    <row r="29" spans="1:7" x14ac:dyDescent="0.2">
      <c r="A29" s="42" t="s">
        <v>168</v>
      </c>
      <c r="B29" s="20">
        <v>63253</v>
      </c>
      <c r="C29" s="20">
        <v>68446</v>
      </c>
      <c r="D29" s="20">
        <v>0</v>
      </c>
      <c r="E29" s="20">
        <v>0</v>
      </c>
      <c r="F29" s="20">
        <v>68446</v>
      </c>
      <c r="G29" s="43">
        <v>68849</v>
      </c>
    </row>
    <row r="30" spans="1:7" x14ac:dyDescent="0.2">
      <c r="A30" s="42" t="s">
        <v>169</v>
      </c>
      <c r="B30" s="20">
        <v>24923</v>
      </c>
      <c r="C30" s="20">
        <v>26969</v>
      </c>
      <c r="D30" s="20">
        <v>0</v>
      </c>
      <c r="E30" s="20">
        <v>0</v>
      </c>
      <c r="F30" s="20">
        <v>26969</v>
      </c>
      <c r="G30" s="43">
        <v>27128</v>
      </c>
    </row>
    <row r="31" spans="1:7" x14ac:dyDescent="0.2">
      <c r="A31" s="42" t="s">
        <v>170</v>
      </c>
      <c r="B31" s="20">
        <v>59744</v>
      </c>
      <c r="C31" s="20">
        <v>64649</v>
      </c>
      <c r="D31" s="20">
        <v>0</v>
      </c>
      <c r="E31" s="20">
        <v>0</v>
      </c>
      <c r="F31" s="20">
        <v>64649</v>
      </c>
      <c r="G31" s="43">
        <v>65030</v>
      </c>
    </row>
    <row r="32" spans="1:7" x14ac:dyDescent="0.2">
      <c r="A32" s="42" t="s">
        <v>171</v>
      </c>
      <c r="B32" s="20">
        <v>13906</v>
      </c>
      <c r="C32" s="20">
        <v>15047</v>
      </c>
      <c r="D32" s="20">
        <v>0</v>
      </c>
      <c r="E32" s="20">
        <v>0</v>
      </c>
      <c r="F32" s="20">
        <v>15047</v>
      </c>
      <c r="G32" s="43">
        <v>15136</v>
      </c>
    </row>
    <row r="33" spans="1:7" x14ac:dyDescent="0.2">
      <c r="A33" s="42" t="s">
        <v>172</v>
      </c>
      <c r="B33" s="20">
        <v>14776</v>
      </c>
      <c r="C33" s="20">
        <v>15989</v>
      </c>
      <c r="D33" s="20">
        <v>0</v>
      </c>
      <c r="E33" s="20">
        <v>0</v>
      </c>
      <c r="F33" s="20">
        <v>15989</v>
      </c>
      <c r="G33" s="43">
        <v>16084</v>
      </c>
    </row>
    <row r="34" spans="1:7" x14ac:dyDescent="0.2">
      <c r="A34" s="42" t="s">
        <v>173</v>
      </c>
      <c r="B34" s="20">
        <v>39649</v>
      </c>
      <c r="C34" s="20">
        <v>42904</v>
      </c>
      <c r="D34" s="20">
        <v>0</v>
      </c>
      <c r="E34" s="20">
        <v>0</v>
      </c>
      <c r="F34" s="20">
        <v>42904</v>
      </c>
      <c r="G34" s="43">
        <v>43157</v>
      </c>
    </row>
    <row r="35" spans="1:7" x14ac:dyDescent="0.2">
      <c r="A35" s="42" t="s">
        <v>174</v>
      </c>
      <c r="B35" s="20">
        <v>19902</v>
      </c>
      <c r="C35" s="20">
        <v>21535</v>
      </c>
      <c r="D35" s="20">
        <v>0</v>
      </c>
      <c r="E35" s="20">
        <v>0</v>
      </c>
      <c r="F35" s="20">
        <v>21535</v>
      </c>
      <c r="G35" s="43">
        <v>21662</v>
      </c>
    </row>
    <row r="36" spans="1:7" x14ac:dyDescent="0.2">
      <c r="A36" s="42" t="s">
        <v>175</v>
      </c>
      <c r="B36" s="20">
        <v>105075</v>
      </c>
      <c r="C36" s="20">
        <v>113701</v>
      </c>
      <c r="D36" s="20">
        <v>0</v>
      </c>
      <c r="E36" s="20">
        <v>0</v>
      </c>
      <c r="F36" s="20">
        <v>113701</v>
      </c>
      <c r="G36" s="43">
        <v>114372</v>
      </c>
    </row>
    <row r="37" spans="1:7" x14ac:dyDescent="0.2">
      <c r="A37" s="42" t="s">
        <v>176</v>
      </c>
      <c r="B37" s="20">
        <v>23698</v>
      </c>
      <c r="C37" s="20">
        <v>25643</v>
      </c>
      <c r="D37" s="20">
        <v>0</v>
      </c>
      <c r="E37" s="20">
        <v>0</v>
      </c>
      <c r="F37" s="20">
        <v>25643</v>
      </c>
      <c r="G37" s="43">
        <v>25794</v>
      </c>
    </row>
    <row r="38" spans="1:7" x14ac:dyDescent="0.2">
      <c r="A38" s="42" t="s">
        <v>177</v>
      </c>
      <c r="B38" s="20">
        <v>372024</v>
      </c>
      <c r="C38" s="20">
        <v>402567</v>
      </c>
      <c r="D38" s="20">
        <v>0</v>
      </c>
      <c r="E38" s="20">
        <v>0</v>
      </c>
      <c r="F38" s="20">
        <v>402567</v>
      </c>
      <c r="G38" s="43">
        <v>404941</v>
      </c>
    </row>
    <row r="39" spans="1:7" x14ac:dyDescent="0.2">
      <c r="A39" s="42" t="s">
        <v>178</v>
      </c>
      <c r="B39" s="20">
        <v>103461</v>
      </c>
      <c r="C39" s="20">
        <v>111955</v>
      </c>
      <c r="D39" s="20">
        <v>0</v>
      </c>
      <c r="E39" s="20">
        <v>0</v>
      </c>
      <c r="F39" s="20">
        <v>111955</v>
      </c>
      <c r="G39" s="43">
        <v>112615</v>
      </c>
    </row>
    <row r="40" spans="1:7" x14ac:dyDescent="0.2">
      <c r="A40" s="42" t="s">
        <v>179</v>
      </c>
      <c r="B40" s="20">
        <v>17307</v>
      </c>
      <c r="C40" s="20">
        <v>18728</v>
      </c>
      <c r="D40" s="20">
        <v>0</v>
      </c>
      <c r="E40" s="20">
        <v>0</v>
      </c>
      <c r="F40" s="20">
        <v>18728</v>
      </c>
      <c r="G40" s="43">
        <v>18838</v>
      </c>
    </row>
    <row r="41" spans="1:7" x14ac:dyDescent="0.2">
      <c r="A41" s="42" t="s">
        <v>180</v>
      </c>
      <c r="B41" s="20">
        <v>238436</v>
      </c>
      <c r="C41" s="20">
        <v>258012</v>
      </c>
      <c r="D41" s="20">
        <v>0</v>
      </c>
      <c r="E41" s="20">
        <v>0</v>
      </c>
      <c r="F41" s="20">
        <v>258012</v>
      </c>
      <c r="G41" s="43">
        <v>259533</v>
      </c>
    </row>
    <row r="42" spans="1:7" x14ac:dyDescent="0.2">
      <c r="A42" s="42" t="s">
        <v>181</v>
      </c>
      <c r="B42" s="20">
        <v>70515</v>
      </c>
      <c r="C42" s="20">
        <v>76305</v>
      </c>
      <c r="D42" s="20">
        <v>0</v>
      </c>
      <c r="E42" s="20">
        <v>0</v>
      </c>
      <c r="F42" s="20">
        <v>76305</v>
      </c>
      <c r="G42" s="43">
        <v>76755</v>
      </c>
    </row>
    <row r="43" spans="1:7" x14ac:dyDescent="0.2">
      <c r="A43" s="42" t="s">
        <v>182</v>
      </c>
      <c r="B43" s="20">
        <v>122291</v>
      </c>
      <c r="C43" s="20">
        <v>132331</v>
      </c>
      <c r="D43" s="20">
        <v>0</v>
      </c>
      <c r="E43" s="20">
        <v>0</v>
      </c>
      <c r="F43" s="20">
        <v>132331</v>
      </c>
      <c r="G43" s="43">
        <v>133111</v>
      </c>
    </row>
    <row r="44" spans="1:7" x14ac:dyDescent="0.2">
      <c r="A44" s="42" t="s">
        <v>183</v>
      </c>
      <c r="B44" s="20">
        <v>253117</v>
      </c>
      <c r="C44" s="20">
        <v>273898</v>
      </c>
      <c r="D44" s="20">
        <v>0</v>
      </c>
      <c r="E44" s="20">
        <v>0</v>
      </c>
      <c r="F44" s="20">
        <v>273898</v>
      </c>
      <c r="G44" s="43">
        <v>275513</v>
      </c>
    </row>
    <row r="45" spans="1:7" x14ac:dyDescent="0.2">
      <c r="A45" s="42" t="s">
        <v>184</v>
      </c>
      <c r="B45" s="20">
        <v>16415</v>
      </c>
      <c r="C45" s="20">
        <v>17763</v>
      </c>
      <c r="D45" s="20">
        <v>0</v>
      </c>
      <c r="E45" s="20">
        <v>0</v>
      </c>
      <c r="F45" s="20">
        <v>17763</v>
      </c>
      <c r="G45" s="43">
        <v>17868</v>
      </c>
    </row>
    <row r="46" spans="1:7" x14ac:dyDescent="0.2">
      <c r="A46" s="42" t="s">
        <v>185</v>
      </c>
      <c r="B46" s="20">
        <v>50770</v>
      </c>
      <c r="C46" s="20">
        <v>54938</v>
      </c>
      <c r="D46" s="20">
        <v>0</v>
      </c>
      <c r="E46" s="20">
        <v>0</v>
      </c>
      <c r="F46" s="20">
        <v>54938</v>
      </c>
      <c r="G46" s="43">
        <v>55262</v>
      </c>
    </row>
    <row r="47" spans="1:7" x14ac:dyDescent="0.2">
      <c r="A47" s="42" t="s">
        <v>186</v>
      </c>
      <c r="B47" s="20">
        <v>7743</v>
      </c>
      <c r="C47" s="20">
        <v>8379</v>
      </c>
      <c r="D47" s="20">
        <v>0</v>
      </c>
      <c r="E47" s="20">
        <v>0</v>
      </c>
      <c r="F47" s="20">
        <v>8379</v>
      </c>
      <c r="G47" s="43">
        <v>8429</v>
      </c>
    </row>
    <row r="48" spans="1:7" x14ac:dyDescent="0.2">
      <c r="A48" s="42" t="s">
        <v>187</v>
      </c>
      <c r="B48" s="20">
        <v>59114</v>
      </c>
      <c r="C48" s="20">
        <v>63967</v>
      </c>
      <c r="D48" s="20">
        <v>0</v>
      </c>
      <c r="E48" s="20">
        <v>0</v>
      </c>
      <c r="F48" s="20">
        <v>63967</v>
      </c>
      <c r="G48" s="43">
        <v>64345</v>
      </c>
    </row>
    <row r="49" spans="1:7" x14ac:dyDescent="0.2">
      <c r="A49" s="42" t="s">
        <v>188</v>
      </c>
      <c r="B49" s="20">
        <v>247697</v>
      </c>
      <c r="C49" s="20">
        <v>268032</v>
      </c>
      <c r="D49" s="20">
        <v>0</v>
      </c>
      <c r="E49" s="20">
        <v>0</v>
      </c>
      <c r="F49" s="20">
        <v>268032</v>
      </c>
      <c r="G49" s="43">
        <v>269613</v>
      </c>
    </row>
    <row r="50" spans="1:7" x14ac:dyDescent="0.2">
      <c r="A50" s="42" t="s">
        <v>189</v>
      </c>
      <c r="B50" s="20">
        <v>39599</v>
      </c>
      <c r="C50" s="20">
        <v>42850</v>
      </c>
      <c r="D50" s="20">
        <v>0</v>
      </c>
      <c r="E50" s="20">
        <v>0</v>
      </c>
      <c r="F50" s="20">
        <v>42850</v>
      </c>
      <c r="G50" s="43">
        <v>43103</v>
      </c>
    </row>
    <row r="51" spans="1:7" x14ac:dyDescent="0.2">
      <c r="A51" s="42" t="s">
        <v>190</v>
      </c>
      <c r="B51" s="20">
        <v>11253</v>
      </c>
      <c r="C51" s="20">
        <v>12177</v>
      </c>
      <c r="D51" s="20">
        <v>0</v>
      </c>
      <c r="E51" s="20">
        <v>0</v>
      </c>
      <c r="F51" s="20">
        <v>12177</v>
      </c>
      <c r="G51" s="43">
        <v>12248</v>
      </c>
    </row>
    <row r="52" spans="1:7" x14ac:dyDescent="0.2">
      <c r="A52" s="42" t="s">
        <v>191</v>
      </c>
      <c r="B52" s="20">
        <v>71014</v>
      </c>
      <c r="C52" s="20">
        <v>76845</v>
      </c>
      <c r="D52" s="20">
        <v>0</v>
      </c>
      <c r="E52" s="20">
        <v>0</v>
      </c>
      <c r="F52" s="20">
        <v>76845</v>
      </c>
      <c r="G52" s="43">
        <v>77298</v>
      </c>
    </row>
    <row r="53" spans="1:7" x14ac:dyDescent="0.2">
      <c r="A53" s="42" t="s">
        <v>192</v>
      </c>
      <c r="B53" s="20">
        <v>188699</v>
      </c>
      <c r="C53" s="20">
        <v>204191</v>
      </c>
      <c r="D53" s="20">
        <v>0</v>
      </c>
      <c r="E53" s="20">
        <v>0</v>
      </c>
      <c r="F53" s="20">
        <v>204191</v>
      </c>
      <c r="G53" s="43">
        <v>205395</v>
      </c>
    </row>
    <row r="54" spans="1:7" x14ac:dyDescent="0.2">
      <c r="A54" s="42" t="s">
        <v>193</v>
      </c>
      <c r="B54" s="20">
        <v>69516</v>
      </c>
      <c r="C54" s="20">
        <v>75223</v>
      </c>
      <c r="D54" s="20">
        <v>0</v>
      </c>
      <c r="E54" s="20">
        <v>0</v>
      </c>
      <c r="F54" s="20">
        <v>75223</v>
      </c>
      <c r="G54" s="43">
        <v>75667</v>
      </c>
    </row>
    <row r="55" spans="1:7" x14ac:dyDescent="0.2">
      <c r="A55" s="42" t="s">
        <v>194</v>
      </c>
      <c r="B55" s="20">
        <v>63531</v>
      </c>
      <c r="C55" s="20">
        <v>68747</v>
      </c>
      <c r="D55" s="20">
        <v>0</v>
      </c>
      <c r="E55" s="20">
        <v>0</v>
      </c>
      <c r="F55" s="20">
        <v>68747</v>
      </c>
      <c r="G55" s="43">
        <v>69152</v>
      </c>
    </row>
    <row r="56" spans="1:7" x14ac:dyDescent="0.2">
      <c r="A56" s="42" t="s">
        <v>195</v>
      </c>
      <c r="B56" s="20">
        <v>4243</v>
      </c>
      <c r="C56" s="20">
        <v>4591</v>
      </c>
      <c r="D56" s="20">
        <v>0</v>
      </c>
      <c r="E56" s="20">
        <v>0</v>
      </c>
      <c r="F56" s="20">
        <v>4591</v>
      </c>
      <c r="G56" s="43">
        <v>4619</v>
      </c>
    </row>
    <row r="57" spans="1:7" x14ac:dyDescent="0.2">
      <c r="A57" s="42" t="s">
        <v>196</v>
      </c>
      <c r="B57" s="20">
        <v>0</v>
      </c>
      <c r="C57" s="20">
        <v>0</v>
      </c>
      <c r="D57" s="20">
        <v>0</v>
      </c>
      <c r="E57" s="20">
        <v>0</v>
      </c>
      <c r="F57" s="20">
        <v>0</v>
      </c>
      <c r="G57" s="43">
        <v>0</v>
      </c>
    </row>
    <row r="58" spans="1:7" x14ac:dyDescent="0.2">
      <c r="A58" s="42" t="s">
        <v>197</v>
      </c>
      <c r="B58" s="20">
        <v>0</v>
      </c>
      <c r="C58" s="20">
        <v>0</v>
      </c>
      <c r="D58" s="20">
        <v>0</v>
      </c>
      <c r="E58" s="20">
        <v>0</v>
      </c>
      <c r="F58" s="20">
        <v>0</v>
      </c>
      <c r="G58" s="43">
        <v>0</v>
      </c>
    </row>
    <row r="59" spans="1:7" x14ac:dyDescent="0.2">
      <c r="A59" s="42" t="s">
        <v>198</v>
      </c>
      <c r="B59" s="20">
        <v>0</v>
      </c>
      <c r="C59" s="20">
        <v>0</v>
      </c>
      <c r="D59" s="20">
        <v>0</v>
      </c>
      <c r="E59" s="20">
        <v>0</v>
      </c>
      <c r="F59" s="20">
        <v>0</v>
      </c>
      <c r="G59" s="43">
        <v>0</v>
      </c>
    </row>
    <row r="60" spans="1:7" x14ac:dyDescent="0.2">
      <c r="A60" s="42" t="s">
        <v>199</v>
      </c>
      <c r="B60" s="20">
        <v>50369</v>
      </c>
      <c r="C60" s="20">
        <v>54504</v>
      </c>
      <c r="D60" s="20">
        <v>0</v>
      </c>
      <c r="E60" s="20">
        <v>0</v>
      </c>
      <c r="F60" s="20">
        <v>54504</v>
      </c>
      <c r="G60" s="43">
        <v>54825</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9730</v>
      </c>
      <c r="C63" s="20">
        <v>7722</v>
      </c>
      <c r="D63" s="20">
        <v>0</v>
      </c>
      <c r="E63" s="20">
        <v>0</v>
      </c>
      <c r="F63" s="20">
        <v>7722</v>
      </c>
      <c r="G63" s="43">
        <v>7804</v>
      </c>
    </row>
    <row r="64" spans="1:7" x14ac:dyDescent="0.2">
      <c r="A64" s="42" t="s">
        <v>203</v>
      </c>
      <c r="B64" s="20">
        <v>0</v>
      </c>
      <c r="C64" s="20">
        <v>0</v>
      </c>
      <c r="D64" s="20">
        <v>0</v>
      </c>
      <c r="E64" s="20">
        <v>0</v>
      </c>
      <c r="F64" s="20">
        <v>0</v>
      </c>
      <c r="G64" s="43">
        <v>0</v>
      </c>
    </row>
    <row r="65" spans="1:7" ht="15" customHeight="1" x14ac:dyDescent="0.2">
      <c r="A65" s="44" t="s">
        <v>204</v>
      </c>
      <c r="B65" s="45">
        <v>5317377</v>
      </c>
      <c r="C65" s="45">
        <v>5751123</v>
      </c>
      <c r="D65" s="45">
        <v>0</v>
      </c>
      <c r="E65" s="45">
        <v>0</v>
      </c>
      <c r="F65" s="45">
        <v>5751123</v>
      </c>
      <c r="G65" s="51">
        <v>5785079</v>
      </c>
    </row>
    <row r="66" spans="1:7" ht="15" customHeight="1" x14ac:dyDescent="0.2">
      <c r="A66" s="101" t="s">
        <v>205</v>
      </c>
      <c r="B66" s="101"/>
      <c r="C66" s="101"/>
      <c r="D66" s="101"/>
      <c r="E66" s="101"/>
      <c r="F66" s="101"/>
      <c r="G66" s="101"/>
    </row>
    <row r="67" spans="1:7" ht="15" customHeight="1" x14ac:dyDescent="0.2">
      <c r="A67" s="102" t="s">
        <v>592</v>
      </c>
      <c r="B67" s="102"/>
      <c r="C67" s="102"/>
      <c r="D67" s="102"/>
      <c r="E67" s="102"/>
      <c r="F67" s="102"/>
      <c r="G67" s="102"/>
    </row>
  </sheetData>
  <mergeCells count="6">
    <mergeCell ref="A67:G67"/>
    <mergeCell ref="A4:A5"/>
    <mergeCell ref="B4:B5"/>
    <mergeCell ref="F4:F5"/>
    <mergeCell ref="G4:G5"/>
    <mergeCell ref="A66:G66"/>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225</v>
      </c>
    </row>
    <row r="2" spans="1:7" x14ac:dyDescent="0.2">
      <c r="A2" s="17" t="s">
        <v>344</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25364</v>
      </c>
      <c r="C6" s="20">
        <v>28495</v>
      </c>
      <c r="D6" s="20">
        <v>0</v>
      </c>
      <c r="E6" s="20">
        <v>0</v>
      </c>
      <c r="F6" s="20">
        <v>28495</v>
      </c>
      <c r="G6" s="43">
        <v>28001</v>
      </c>
    </row>
    <row r="7" spans="1:7" x14ac:dyDescent="0.2">
      <c r="A7" s="42" t="s">
        <v>146</v>
      </c>
      <c r="B7" s="20">
        <v>29321</v>
      </c>
      <c r="C7" s="20">
        <v>32942</v>
      </c>
      <c r="D7" s="20">
        <v>0</v>
      </c>
      <c r="E7" s="20">
        <v>0</v>
      </c>
      <c r="F7" s="20">
        <v>32942</v>
      </c>
      <c r="G7" s="43">
        <v>32371</v>
      </c>
    </row>
    <row r="8" spans="1:7" x14ac:dyDescent="0.2">
      <c r="A8" s="42" t="s">
        <v>147</v>
      </c>
      <c r="B8" s="20">
        <v>180865</v>
      </c>
      <c r="C8" s="20">
        <v>203197</v>
      </c>
      <c r="D8" s="20">
        <v>0</v>
      </c>
      <c r="E8" s="20">
        <v>0</v>
      </c>
      <c r="F8" s="20">
        <v>203197</v>
      </c>
      <c r="G8" s="43">
        <v>199674</v>
      </c>
    </row>
    <row r="9" spans="1:7" x14ac:dyDescent="0.2">
      <c r="A9" s="42" t="s">
        <v>148</v>
      </c>
      <c r="B9" s="20">
        <v>33636</v>
      </c>
      <c r="C9" s="20">
        <v>37789</v>
      </c>
      <c r="D9" s="20">
        <v>0</v>
      </c>
      <c r="E9" s="20">
        <v>0</v>
      </c>
      <c r="F9" s="20">
        <v>37789</v>
      </c>
      <c r="G9" s="43">
        <v>37133</v>
      </c>
    </row>
    <row r="10" spans="1:7" x14ac:dyDescent="0.2">
      <c r="A10" s="42" t="s">
        <v>149</v>
      </c>
      <c r="B10" s="20">
        <v>692663</v>
      </c>
      <c r="C10" s="20">
        <v>778189</v>
      </c>
      <c r="D10" s="20">
        <v>0</v>
      </c>
      <c r="E10" s="20">
        <v>0</v>
      </c>
      <c r="F10" s="20">
        <v>778189</v>
      </c>
      <c r="G10" s="43">
        <v>764699</v>
      </c>
    </row>
    <row r="11" spans="1:7" x14ac:dyDescent="0.2">
      <c r="A11" s="42" t="s">
        <v>150</v>
      </c>
      <c r="B11" s="20">
        <v>19883</v>
      </c>
      <c r="C11" s="20">
        <v>22338</v>
      </c>
      <c r="D11" s="20">
        <v>0</v>
      </c>
      <c r="E11" s="20">
        <v>0</v>
      </c>
      <c r="F11" s="20">
        <v>22338</v>
      </c>
      <c r="G11" s="43">
        <v>21950</v>
      </c>
    </row>
    <row r="12" spans="1:7" x14ac:dyDescent="0.2">
      <c r="A12" s="42" t="s">
        <v>151</v>
      </c>
      <c r="B12" s="20">
        <v>47504</v>
      </c>
      <c r="C12" s="20">
        <v>53369</v>
      </c>
      <c r="D12" s="20">
        <v>0</v>
      </c>
      <c r="E12" s="20">
        <v>0</v>
      </c>
      <c r="F12" s="20">
        <v>53369</v>
      </c>
      <c r="G12" s="43">
        <v>52444</v>
      </c>
    </row>
    <row r="13" spans="1:7" x14ac:dyDescent="0.2">
      <c r="A13" s="42" t="s">
        <v>152</v>
      </c>
      <c r="B13" s="20">
        <v>3426</v>
      </c>
      <c r="C13" s="20">
        <v>3849</v>
      </c>
      <c r="D13" s="20">
        <v>0</v>
      </c>
      <c r="E13" s="20">
        <v>0</v>
      </c>
      <c r="F13" s="20">
        <v>3849</v>
      </c>
      <c r="G13" s="43">
        <v>3782</v>
      </c>
    </row>
    <row r="14" spans="1:7" x14ac:dyDescent="0.2">
      <c r="A14" s="42" t="s">
        <v>153</v>
      </c>
      <c r="B14" s="20">
        <v>9804</v>
      </c>
      <c r="C14" s="20">
        <v>11014</v>
      </c>
      <c r="D14" s="20">
        <v>0</v>
      </c>
      <c r="E14" s="20">
        <v>0</v>
      </c>
      <c r="F14" s="20">
        <v>11014</v>
      </c>
      <c r="G14" s="43">
        <v>10823</v>
      </c>
    </row>
    <row r="15" spans="1:7" x14ac:dyDescent="0.2">
      <c r="A15" s="42" t="s">
        <v>154</v>
      </c>
      <c r="B15" s="20">
        <v>138149</v>
      </c>
      <c r="C15" s="20">
        <v>155207</v>
      </c>
      <c r="D15" s="20">
        <v>0</v>
      </c>
      <c r="E15" s="20">
        <v>0</v>
      </c>
      <c r="F15" s="20">
        <v>155207</v>
      </c>
      <c r="G15" s="43">
        <v>152516</v>
      </c>
    </row>
    <row r="16" spans="1:7" x14ac:dyDescent="0.2">
      <c r="A16" s="42" t="s">
        <v>155</v>
      </c>
      <c r="B16" s="20">
        <v>62446</v>
      </c>
      <c r="C16" s="20">
        <v>70156</v>
      </c>
      <c r="D16" s="20">
        <v>0</v>
      </c>
      <c r="E16" s="20">
        <v>0</v>
      </c>
      <c r="F16" s="20">
        <v>70156</v>
      </c>
      <c r="G16" s="43">
        <v>68940</v>
      </c>
    </row>
    <row r="17" spans="1:7" x14ac:dyDescent="0.2">
      <c r="A17" s="42" t="s">
        <v>156</v>
      </c>
      <c r="B17" s="20">
        <v>16199</v>
      </c>
      <c r="C17" s="20">
        <v>18199</v>
      </c>
      <c r="D17" s="20">
        <v>0</v>
      </c>
      <c r="E17" s="20">
        <v>0</v>
      </c>
      <c r="F17" s="20">
        <v>18199</v>
      </c>
      <c r="G17" s="43">
        <v>17884</v>
      </c>
    </row>
    <row r="18" spans="1:7" x14ac:dyDescent="0.2">
      <c r="A18" s="42" t="s">
        <v>157</v>
      </c>
      <c r="B18" s="20">
        <v>10327</v>
      </c>
      <c r="C18" s="20">
        <v>11602</v>
      </c>
      <c r="D18" s="20">
        <v>0</v>
      </c>
      <c r="E18" s="20">
        <v>0</v>
      </c>
      <c r="F18" s="20">
        <v>11602</v>
      </c>
      <c r="G18" s="43">
        <v>11401</v>
      </c>
    </row>
    <row r="19" spans="1:7" x14ac:dyDescent="0.2">
      <c r="A19" s="42" t="s">
        <v>158</v>
      </c>
      <c r="B19" s="20">
        <v>85318</v>
      </c>
      <c r="C19" s="20">
        <v>95853</v>
      </c>
      <c r="D19" s="20">
        <v>0</v>
      </c>
      <c r="E19" s="20">
        <v>0</v>
      </c>
      <c r="F19" s="20">
        <v>95853</v>
      </c>
      <c r="G19" s="43">
        <v>94191</v>
      </c>
    </row>
    <row r="20" spans="1:7" x14ac:dyDescent="0.2">
      <c r="A20" s="42" t="s">
        <v>159</v>
      </c>
      <c r="B20" s="20">
        <v>69826</v>
      </c>
      <c r="C20" s="20">
        <v>78448</v>
      </c>
      <c r="D20" s="20">
        <v>0</v>
      </c>
      <c r="E20" s="20">
        <v>0</v>
      </c>
      <c r="F20" s="20">
        <v>78448</v>
      </c>
      <c r="G20" s="43">
        <v>77088</v>
      </c>
    </row>
    <row r="21" spans="1:7" x14ac:dyDescent="0.2">
      <c r="A21" s="42" t="s">
        <v>160</v>
      </c>
      <c r="B21" s="20">
        <v>48106</v>
      </c>
      <c r="C21" s="20">
        <v>54046</v>
      </c>
      <c r="D21" s="20">
        <v>0</v>
      </c>
      <c r="E21" s="20">
        <v>0</v>
      </c>
      <c r="F21" s="20">
        <v>54046</v>
      </c>
      <c r="G21" s="43">
        <v>53109</v>
      </c>
    </row>
    <row r="22" spans="1:7" x14ac:dyDescent="0.2">
      <c r="A22" s="42" t="s">
        <v>161</v>
      </c>
      <c r="B22" s="20">
        <v>25910</v>
      </c>
      <c r="C22" s="20">
        <v>29109</v>
      </c>
      <c r="D22" s="20">
        <v>0</v>
      </c>
      <c r="E22" s="20">
        <v>0</v>
      </c>
      <c r="F22" s="20">
        <v>29109</v>
      </c>
      <c r="G22" s="43">
        <v>28605</v>
      </c>
    </row>
    <row r="23" spans="1:7" x14ac:dyDescent="0.2">
      <c r="A23" s="42" t="s">
        <v>162</v>
      </c>
      <c r="B23" s="20">
        <v>76905</v>
      </c>
      <c r="C23" s="20">
        <v>86401</v>
      </c>
      <c r="D23" s="20">
        <v>0</v>
      </c>
      <c r="E23" s="20">
        <v>0</v>
      </c>
      <c r="F23" s="20">
        <v>86401</v>
      </c>
      <c r="G23" s="43">
        <v>84903</v>
      </c>
    </row>
    <row r="24" spans="1:7" x14ac:dyDescent="0.2">
      <c r="A24" s="42" t="s">
        <v>163</v>
      </c>
      <c r="B24" s="20">
        <v>26000</v>
      </c>
      <c r="C24" s="20">
        <v>29211</v>
      </c>
      <c r="D24" s="20">
        <v>0</v>
      </c>
      <c r="E24" s="20">
        <v>0</v>
      </c>
      <c r="F24" s="20">
        <v>29211</v>
      </c>
      <c r="G24" s="43">
        <v>28704</v>
      </c>
    </row>
    <row r="25" spans="1:7" x14ac:dyDescent="0.2">
      <c r="A25" s="42" t="s">
        <v>164</v>
      </c>
      <c r="B25" s="20">
        <v>24045</v>
      </c>
      <c r="C25" s="20">
        <v>27014</v>
      </c>
      <c r="D25" s="20">
        <v>0</v>
      </c>
      <c r="E25" s="20">
        <v>0</v>
      </c>
      <c r="F25" s="20">
        <v>27014</v>
      </c>
      <c r="G25" s="43">
        <v>26546</v>
      </c>
    </row>
    <row r="26" spans="1:7" x14ac:dyDescent="0.2">
      <c r="A26" s="42" t="s">
        <v>165</v>
      </c>
      <c r="B26" s="20">
        <v>21734</v>
      </c>
      <c r="C26" s="20">
        <v>24418</v>
      </c>
      <c r="D26" s="20">
        <v>0</v>
      </c>
      <c r="E26" s="20">
        <v>0</v>
      </c>
      <c r="F26" s="20">
        <v>24418</v>
      </c>
      <c r="G26" s="43">
        <v>23994</v>
      </c>
    </row>
    <row r="27" spans="1:7" x14ac:dyDescent="0.2">
      <c r="A27" s="42" t="s">
        <v>166</v>
      </c>
      <c r="B27" s="20">
        <v>39962</v>
      </c>
      <c r="C27" s="20">
        <v>44896</v>
      </c>
      <c r="D27" s="20">
        <v>0</v>
      </c>
      <c r="E27" s="20">
        <v>0</v>
      </c>
      <c r="F27" s="20">
        <v>44896</v>
      </c>
      <c r="G27" s="43">
        <v>44118</v>
      </c>
    </row>
    <row r="28" spans="1:7" x14ac:dyDescent="0.2">
      <c r="A28" s="42" t="s">
        <v>167</v>
      </c>
      <c r="B28" s="20">
        <v>113856</v>
      </c>
      <c r="C28" s="20">
        <v>127915</v>
      </c>
      <c r="D28" s="20">
        <v>0</v>
      </c>
      <c r="E28" s="20">
        <v>0</v>
      </c>
      <c r="F28" s="20">
        <v>127915</v>
      </c>
      <c r="G28" s="43">
        <v>125697</v>
      </c>
    </row>
    <row r="29" spans="1:7" x14ac:dyDescent="0.2">
      <c r="A29" s="42" t="s">
        <v>168</v>
      </c>
      <c r="B29" s="20">
        <v>46424</v>
      </c>
      <c r="C29" s="20">
        <v>52156</v>
      </c>
      <c r="D29" s="20">
        <v>0</v>
      </c>
      <c r="E29" s="20">
        <v>0</v>
      </c>
      <c r="F29" s="20">
        <v>52156</v>
      </c>
      <c r="G29" s="43">
        <v>51252</v>
      </c>
    </row>
    <row r="30" spans="1:7" x14ac:dyDescent="0.2">
      <c r="A30" s="42" t="s">
        <v>169</v>
      </c>
      <c r="B30" s="20">
        <v>21963</v>
      </c>
      <c r="C30" s="20">
        <v>24675</v>
      </c>
      <c r="D30" s="20">
        <v>0</v>
      </c>
      <c r="E30" s="20">
        <v>0</v>
      </c>
      <c r="F30" s="20">
        <v>24675</v>
      </c>
      <c r="G30" s="43">
        <v>24248</v>
      </c>
    </row>
    <row r="31" spans="1:7" x14ac:dyDescent="0.2">
      <c r="A31" s="42" t="s">
        <v>170</v>
      </c>
      <c r="B31" s="20">
        <v>45435</v>
      </c>
      <c r="C31" s="20">
        <v>51045</v>
      </c>
      <c r="D31" s="20">
        <v>0</v>
      </c>
      <c r="E31" s="20">
        <v>0</v>
      </c>
      <c r="F31" s="20">
        <v>51045</v>
      </c>
      <c r="G31" s="43">
        <v>50160</v>
      </c>
    </row>
    <row r="32" spans="1:7" x14ac:dyDescent="0.2">
      <c r="A32" s="42" t="s">
        <v>171</v>
      </c>
      <c r="B32" s="20">
        <v>12496</v>
      </c>
      <c r="C32" s="20">
        <v>14039</v>
      </c>
      <c r="D32" s="20">
        <v>0</v>
      </c>
      <c r="E32" s="20">
        <v>0</v>
      </c>
      <c r="F32" s="20">
        <v>14039</v>
      </c>
      <c r="G32" s="43">
        <v>13796</v>
      </c>
    </row>
    <row r="33" spans="1:7" x14ac:dyDescent="0.2">
      <c r="A33" s="42" t="s">
        <v>172</v>
      </c>
      <c r="B33" s="20">
        <v>25644</v>
      </c>
      <c r="C33" s="20">
        <v>28811</v>
      </c>
      <c r="D33" s="20">
        <v>0</v>
      </c>
      <c r="E33" s="20">
        <v>0</v>
      </c>
      <c r="F33" s="20">
        <v>28811</v>
      </c>
      <c r="G33" s="43">
        <v>28311</v>
      </c>
    </row>
    <row r="34" spans="1:7" x14ac:dyDescent="0.2">
      <c r="A34" s="42" t="s">
        <v>173</v>
      </c>
      <c r="B34" s="20">
        <v>42525</v>
      </c>
      <c r="C34" s="20">
        <v>47776</v>
      </c>
      <c r="D34" s="20">
        <v>0</v>
      </c>
      <c r="E34" s="20">
        <v>0</v>
      </c>
      <c r="F34" s="20">
        <v>47776</v>
      </c>
      <c r="G34" s="43">
        <v>46948</v>
      </c>
    </row>
    <row r="35" spans="1:7" x14ac:dyDescent="0.2">
      <c r="A35" s="42" t="s">
        <v>174</v>
      </c>
      <c r="B35" s="20">
        <v>4092</v>
      </c>
      <c r="C35" s="20">
        <v>4597</v>
      </c>
      <c r="D35" s="20">
        <v>0</v>
      </c>
      <c r="E35" s="20">
        <v>0</v>
      </c>
      <c r="F35" s="20">
        <v>4597</v>
      </c>
      <c r="G35" s="43">
        <v>4517</v>
      </c>
    </row>
    <row r="36" spans="1:7" x14ac:dyDescent="0.2">
      <c r="A36" s="42" t="s">
        <v>175</v>
      </c>
      <c r="B36" s="20">
        <v>89808</v>
      </c>
      <c r="C36" s="20">
        <v>100897</v>
      </c>
      <c r="D36" s="20">
        <v>0</v>
      </c>
      <c r="E36" s="20">
        <v>0</v>
      </c>
      <c r="F36" s="20">
        <v>100897</v>
      </c>
      <c r="G36" s="43">
        <v>99148</v>
      </c>
    </row>
    <row r="37" spans="1:7" x14ac:dyDescent="0.2">
      <c r="A37" s="42" t="s">
        <v>176</v>
      </c>
      <c r="B37" s="20">
        <v>27412</v>
      </c>
      <c r="C37" s="20">
        <v>30797</v>
      </c>
      <c r="D37" s="20">
        <v>0</v>
      </c>
      <c r="E37" s="20">
        <v>0</v>
      </c>
      <c r="F37" s="20">
        <v>30797</v>
      </c>
      <c r="G37" s="43">
        <v>30263</v>
      </c>
    </row>
    <row r="38" spans="1:7" x14ac:dyDescent="0.2">
      <c r="A38" s="42" t="s">
        <v>177</v>
      </c>
      <c r="B38" s="20">
        <v>150095</v>
      </c>
      <c r="C38" s="20">
        <v>168627</v>
      </c>
      <c r="D38" s="20">
        <v>0</v>
      </c>
      <c r="E38" s="20">
        <v>0</v>
      </c>
      <c r="F38" s="20">
        <v>168627</v>
      </c>
      <c r="G38" s="43">
        <v>165704</v>
      </c>
    </row>
    <row r="39" spans="1:7" x14ac:dyDescent="0.2">
      <c r="A39" s="42" t="s">
        <v>178</v>
      </c>
      <c r="B39" s="20">
        <v>69389</v>
      </c>
      <c r="C39" s="20">
        <v>77957</v>
      </c>
      <c r="D39" s="20">
        <v>0</v>
      </c>
      <c r="E39" s="20">
        <v>0</v>
      </c>
      <c r="F39" s="20">
        <v>77957</v>
      </c>
      <c r="G39" s="43">
        <v>76606</v>
      </c>
    </row>
    <row r="40" spans="1:7" x14ac:dyDescent="0.2">
      <c r="A40" s="42" t="s">
        <v>179</v>
      </c>
      <c r="B40" s="20">
        <v>10498</v>
      </c>
      <c r="C40" s="20">
        <v>11795</v>
      </c>
      <c r="D40" s="20">
        <v>0</v>
      </c>
      <c r="E40" s="20">
        <v>0</v>
      </c>
      <c r="F40" s="20">
        <v>11795</v>
      </c>
      <c r="G40" s="43">
        <v>11590</v>
      </c>
    </row>
    <row r="41" spans="1:7" x14ac:dyDescent="0.2">
      <c r="A41" s="42" t="s">
        <v>180</v>
      </c>
      <c r="B41" s="20">
        <v>172024</v>
      </c>
      <c r="C41" s="20">
        <v>193264</v>
      </c>
      <c r="D41" s="20">
        <v>0</v>
      </c>
      <c r="E41" s="20">
        <v>0</v>
      </c>
      <c r="F41" s="20">
        <v>193264</v>
      </c>
      <c r="G41" s="43">
        <v>189914</v>
      </c>
    </row>
    <row r="42" spans="1:7" x14ac:dyDescent="0.2">
      <c r="A42" s="42" t="s">
        <v>181</v>
      </c>
      <c r="B42" s="20">
        <v>98608</v>
      </c>
      <c r="C42" s="20">
        <v>110783</v>
      </c>
      <c r="D42" s="20">
        <v>0</v>
      </c>
      <c r="E42" s="20">
        <v>0</v>
      </c>
      <c r="F42" s="20">
        <v>110783</v>
      </c>
      <c r="G42" s="43">
        <v>108863</v>
      </c>
    </row>
    <row r="43" spans="1:7" x14ac:dyDescent="0.2">
      <c r="A43" s="42" t="s">
        <v>182</v>
      </c>
      <c r="B43" s="20">
        <v>43607</v>
      </c>
      <c r="C43" s="20">
        <v>48991</v>
      </c>
      <c r="D43" s="20">
        <v>0</v>
      </c>
      <c r="E43" s="20">
        <v>0</v>
      </c>
      <c r="F43" s="20">
        <v>48991</v>
      </c>
      <c r="G43" s="43">
        <v>48141</v>
      </c>
    </row>
    <row r="44" spans="1:7" x14ac:dyDescent="0.2">
      <c r="A44" s="42" t="s">
        <v>183</v>
      </c>
      <c r="B44" s="20">
        <v>169234</v>
      </c>
      <c r="C44" s="20">
        <v>190130</v>
      </c>
      <c r="D44" s="20">
        <v>0</v>
      </c>
      <c r="E44" s="20">
        <v>0</v>
      </c>
      <c r="F44" s="20">
        <v>190130</v>
      </c>
      <c r="G44" s="43">
        <v>186834</v>
      </c>
    </row>
    <row r="45" spans="1:7" x14ac:dyDescent="0.2">
      <c r="A45" s="42" t="s">
        <v>184</v>
      </c>
      <c r="B45" s="20">
        <v>9502</v>
      </c>
      <c r="C45" s="20">
        <v>10675</v>
      </c>
      <c r="D45" s="20">
        <v>0</v>
      </c>
      <c r="E45" s="20">
        <v>0</v>
      </c>
      <c r="F45" s="20">
        <v>10675</v>
      </c>
      <c r="G45" s="43">
        <v>10490</v>
      </c>
    </row>
    <row r="46" spans="1:7" x14ac:dyDescent="0.2">
      <c r="A46" s="42" t="s">
        <v>185</v>
      </c>
      <c r="B46" s="20">
        <v>22756</v>
      </c>
      <c r="C46" s="20">
        <v>25566</v>
      </c>
      <c r="D46" s="20">
        <v>0</v>
      </c>
      <c r="E46" s="20">
        <v>0</v>
      </c>
      <c r="F46" s="20">
        <v>25566</v>
      </c>
      <c r="G46" s="43">
        <v>25123</v>
      </c>
    </row>
    <row r="47" spans="1:7" x14ac:dyDescent="0.2">
      <c r="A47" s="42" t="s">
        <v>186</v>
      </c>
      <c r="B47" s="20">
        <v>6743</v>
      </c>
      <c r="C47" s="20">
        <v>7576</v>
      </c>
      <c r="D47" s="20">
        <v>0</v>
      </c>
      <c r="E47" s="20">
        <v>0</v>
      </c>
      <c r="F47" s="20">
        <v>7576</v>
      </c>
      <c r="G47" s="43">
        <v>7445</v>
      </c>
    </row>
    <row r="48" spans="1:7" x14ac:dyDescent="0.2">
      <c r="A48" s="42" t="s">
        <v>187</v>
      </c>
      <c r="B48" s="20">
        <v>68887</v>
      </c>
      <c r="C48" s="20">
        <v>77393</v>
      </c>
      <c r="D48" s="20">
        <v>0</v>
      </c>
      <c r="E48" s="20">
        <v>0</v>
      </c>
      <c r="F48" s="20">
        <v>77393</v>
      </c>
      <c r="G48" s="43">
        <v>76051</v>
      </c>
    </row>
    <row r="49" spans="1:7" x14ac:dyDescent="0.2">
      <c r="A49" s="42" t="s">
        <v>188</v>
      </c>
      <c r="B49" s="20">
        <v>179723</v>
      </c>
      <c r="C49" s="20">
        <v>201915</v>
      </c>
      <c r="D49" s="20">
        <v>0</v>
      </c>
      <c r="E49" s="20">
        <v>0</v>
      </c>
      <c r="F49" s="20">
        <v>201915</v>
      </c>
      <c r="G49" s="43">
        <v>198414</v>
      </c>
    </row>
    <row r="50" spans="1:7" x14ac:dyDescent="0.2">
      <c r="A50" s="42" t="s">
        <v>189</v>
      </c>
      <c r="B50" s="20">
        <v>13396</v>
      </c>
      <c r="C50" s="20">
        <v>15050</v>
      </c>
      <c r="D50" s="20">
        <v>0</v>
      </c>
      <c r="E50" s="20">
        <v>0</v>
      </c>
      <c r="F50" s="20">
        <v>15050</v>
      </c>
      <c r="G50" s="43">
        <v>14790</v>
      </c>
    </row>
    <row r="51" spans="1:7" x14ac:dyDescent="0.2">
      <c r="A51" s="42" t="s">
        <v>190</v>
      </c>
      <c r="B51" s="20">
        <v>12049</v>
      </c>
      <c r="C51" s="20">
        <v>13536</v>
      </c>
      <c r="D51" s="20">
        <v>0</v>
      </c>
      <c r="E51" s="20">
        <v>0</v>
      </c>
      <c r="F51" s="20">
        <v>13536</v>
      </c>
      <c r="G51" s="43">
        <v>13302</v>
      </c>
    </row>
    <row r="52" spans="1:7" x14ac:dyDescent="0.2">
      <c r="A52" s="42" t="s">
        <v>191</v>
      </c>
      <c r="B52" s="20">
        <v>72310</v>
      </c>
      <c r="C52" s="20">
        <v>81239</v>
      </c>
      <c r="D52" s="20">
        <v>0</v>
      </c>
      <c r="E52" s="20">
        <v>0</v>
      </c>
      <c r="F52" s="20">
        <v>81239</v>
      </c>
      <c r="G52" s="43">
        <v>79831</v>
      </c>
    </row>
    <row r="53" spans="1:7" x14ac:dyDescent="0.2">
      <c r="A53" s="42" t="s">
        <v>192</v>
      </c>
      <c r="B53" s="20">
        <v>51556</v>
      </c>
      <c r="C53" s="20">
        <v>57922</v>
      </c>
      <c r="D53" s="20">
        <v>0</v>
      </c>
      <c r="E53" s="20">
        <v>0</v>
      </c>
      <c r="F53" s="20">
        <v>57922</v>
      </c>
      <c r="G53" s="43">
        <v>56918</v>
      </c>
    </row>
    <row r="54" spans="1:7" x14ac:dyDescent="0.2">
      <c r="A54" s="42" t="s">
        <v>193</v>
      </c>
      <c r="B54" s="20">
        <v>56857</v>
      </c>
      <c r="C54" s="20">
        <v>63877</v>
      </c>
      <c r="D54" s="20">
        <v>0</v>
      </c>
      <c r="E54" s="20">
        <v>0</v>
      </c>
      <c r="F54" s="20">
        <v>63877</v>
      </c>
      <c r="G54" s="43">
        <v>62770</v>
      </c>
    </row>
    <row r="55" spans="1:7" x14ac:dyDescent="0.2">
      <c r="A55" s="42" t="s">
        <v>194</v>
      </c>
      <c r="B55" s="20">
        <v>57230</v>
      </c>
      <c r="C55" s="20">
        <v>64296</v>
      </c>
      <c r="D55" s="20">
        <v>0</v>
      </c>
      <c r="E55" s="20">
        <v>0</v>
      </c>
      <c r="F55" s="20">
        <v>64296</v>
      </c>
      <c r="G55" s="43">
        <v>63181</v>
      </c>
    </row>
    <row r="56" spans="1:7" x14ac:dyDescent="0.2">
      <c r="A56" s="42" t="s">
        <v>195</v>
      </c>
      <c r="B56" s="20">
        <v>1299</v>
      </c>
      <c r="C56" s="20">
        <v>1460</v>
      </c>
      <c r="D56" s="20">
        <v>0</v>
      </c>
      <c r="E56" s="20">
        <v>0</v>
      </c>
      <c r="F56" s="20">
        <v>1460</v>
      </c>
      <c r="G56" s="43">
        <v>1435</v>
      </c>
    </row>
    <row r="57" spans="1:7" x14ac:dyDescent="0.2">
      <c r="A57" s="42" t="s">
        <v>196</v>
      </c>
      <c r="B57" s="20">
        <v>0</v>
      </c>
      <c r="C57" s="20">
        <v>0</v>
      </c>
      <c r="D57" s="20">
        <v>0</v>
      </c>
      <c r="E57" s="20">
        <v>0</v>
      </c>
      <c r="F57" s="20">
        <v>0</v>
      </c>
      <c r="G57" s="43">
        <v>0</v>
      </c>
    </row>
    <row r="58" spans="1:7" x14ac:dyDescent="0.2">
      <c r="A58" s="42" t="s">
        <v>197</v>
      </c>
      <c r="B58" s="20">
        <v>0</v>
      </c>
      <c r="C58" s="20">
        <v>0</v>
      </c>
      <c r="D58" s="20">
        <v>0</v>
      </c>
      <c r="E58" s="20">
        <v>0</v>
      </c>
      <c r="F58" s="20">
        <v>0</v>
      </c>
      <c r="G58" s="43">
        <v>0</v>
      </c>
    </row>
    <row r="59" spans="1:7" x14ac:dyDescent="0.2">
      <c r="A59" s="42" t="s">
        <v>198</v>
      </c>
      <c r="B59" s="20">
        <v>0</v>
      </c>
      <c r="C59" s="20">
        <v>0</v>
      </c>
      <c r="D59" s="20">
        <v>0</v>
      </c>
      <c r="E59" s="20">
        <v>0</v>
      </c>
      <c r="F59" s="20">
        <v>0</v>
      </c>
      <c r="G59" s="43">
        <v>0</v>
      </c>
    </row>
    <row r="60" spans="1:7" x14ac:dyDescent="0.2">
      <c r="A60" s="42" t="s">
        <v>199</v>
      </c>
      <c r="B60" s="20">
        <v>1231</v>
      </c>
      <c r="C60" s="20">
        <v>1383</v>
      </c>
      <c r="D60" s="20">
        <v>0</v>
      </c>
      <c r="E60" s="20">
        <v>0</v>
      </c>
      <c r="F60" s="20">
        <v>1383</v>
      </c>
      <c r="G60" s="43">
        <v>1359</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444</v>
      </c>
      <c r="C63" s="20">
        <v>160</v>
      </c>
      <c r="D63" s="20">
        <v>0</v>
      </c>
      <c r="E63" s="20">
        <v>0</v>
      </c>
      <c r="F63" s="20">
        <v>160</v>
      </c>
      <c r="G63" s="43">
        <v>160</v>
      </c>
    </row>
    <row r="64" spans="1:7" x14ac:dyDescent="0.2">
      <c r="A64" s="42" t="s">
        <v>203</v>
      </c>
      <c r="B64" s="20">
        <v>0</v>
      </c>
      <c r="C64" s="20">
        <v>0</v>
      </c>
      <c r="D64" s="20">
        <v>0</v>
      </c>
      <c r="E64" s="20">
        <v>0</v>
      </c>
      <c r="F64" s="20">
        <v>0</v>
      </c>
      <c r="G64" s="43">
        <v>0</v>
      </c>
    </row>
    <row r="65" spans="1:7" ht="15" customHeight="1" x14ac:dyDescent="0.2">
      <c r="A65" s="44" t="s">
        <v>204</v>
      </c>
      <c r="B65" s="45">
        <v>3384486</v>
      </c>
      <c r="C65" s="45">
        <v>3802045</v>
      </c>
      <c r="D65" s="45">
        <v>0</v>
      </c>
      <c r="E65" s="45">
        <v>0</v>
      </c>
      <c r="F65" s="45">
        <v>3802045</v>
      </c>
      <c r="G65" s="51">
        <v>3736137</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218</v>
      </c>
      <c r="B1" s="16"/>
      <c r="C1" s="16"/>
      <c r="D1" s="16"/>
      <c r="E1" s="16"/>
      <c r="F1" s="16"/>
      <c r="G1" s="15" t="s">
        <v>226</v>
      </c>
    </row>
    <row r="2" spans="1:7" x14ac:dyDescent="0.2">
      <c r="A2" s="17" t="s">
        <v>345</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23808</v>
      </c>
      <c r="C6" s="20">
        <v>23816</v>
      </c>
      <c r="D6" s="20">
        <v>0</v>
      </c>
      <c r="E6" s="20">
        <v>0</v>
      </c>
      <c r="F6" s="20">
        <v>23816</v>
      </c>
      <c r="G6" s="43">
        <v>23816</v>
      </c>
    </row>
    <row r="7" spans="1:7" x14ac:dyDescent="0.2">
      <c r="A7" s="42" t="s">
        <v>146</v>
      </c>
      <c r="B7" s="20">
        <v>3613</v>
      </c>
      <c r="C7" s="20">
        <v>3593</v>
      </c>
      <c r="D7" s="20">
        <v>0</v>
      </c>
      <c r="E7" s="20">
        <v>0</v>
      </c>
      <c r="F7" s="20">
        <v>3593</v>
      </c>
      <c r="G7" s="43">
        <v>3593</v>
      </c>
    </row>
    <row r="8" spans="1:7" x14ac:dyDescent="0.2">
      <c r="A8" s="42" t="s">
        <v>147</v>
      </c>
      <c r="B8" s="20">
        <v>34266</v>
      </c>
      <c r="C8" s="20">
        <v>34944</v>
      </c>
      <c r="D8" s="20">
        <v>0</v>
      </c>
      <c r="E8" s="20">
        <v>0</v>
      </c>
      <c r="F8" s="20">
        <v>34944</v>
      </c>
      <c r="G8" s="43">
        <v>34944</v>
      </c>
    </row>
    <row r="9" spans="1:7" x14ac:dyDescent="0.2">
      <c r="A9" s="42" t="s">
        <v>148</v>
      </c>
      <c r="B9" s="20">
        <v>14673</v>
      </c>
      <c r="C9" s="20">
        <v>14685</v>
      </c>
      <c r="D9" s="20">
        <v>0</v>
      </c>
      <c r="E9" s="20">
        <v>0</v>
      </c>
      <c r="F9" s="20">
        <v>14685</v>
      </c>
      <c r="G9" s="43">
        <v>14685</v>
      </c>
    </row>
    <row r="10" spans="1:7" x14ac:dyDescent="0.2">
      <c r="A10" s="42" t="s">
        <v>149</v>
      </c>
      <c r="B10" s="20">
        <v>193091</v>
      </c>
      <c r="C10" s="20">
        <v>192744</v>
      </c>
      <c r="D10" s="20">
        <v>0</v>
      </c>
      <c r="E10" s="20">
        <v>0</v>
      </c>
      <c r="F10" s="20">
        <v>192744</v>
      </c>
      <c r="G10" s="43">
        <v>192744</v>
      </c>
    </row>
    <row r="11" spans="1:7" x14ac:dyDescent="0.2">
      <c r="A11" s="42" t="s">
        <v>150</v>
      </c>
      <c r="B11" s="20">
        <v>27384</v>
      </c>
      <c r="C11" s="20">
        <v>27752</v>
      </c>
      <c r="D11" s="20">
        <v>0</v>
      </c>
      <c r="E11" s="20">
        <v>0</v>
      </c>
      <c r="F11" s="20">
        <v>27752</v>
      </c>
      <c r="G11" s="43">
        <v>27752</v>
      </c>
    </row>
    <row r="12" spans="1:7" x14ac:dyDescent="0.2">
      <c r="A12" s="42" t="s">
        <v>151</v>
      </c>
      <c r="B12" s="20">
        <v>17524</v>
      </c>
      <c r="C12" s="20">
        <v>17408</v>
      </c>
      <c r="D12" s="20">
        <v>0</v>
      </c>
      <c r="E12" s="20">
        <v>0</v>
      </c>
      <c r="F12" s="20">
        <v>17408</v>
      </c>
      <c r="G12" s="43">
        <v>17408</v>
      </c>
    </row>
    <row r="13" spans="1:7" x14ac:dyDescent="0.2">
      <c r="A13" s="42" t="s">
        <v>152</v>
      </c>
      <c r="B13" s="20">
        <v>4698</v>
      </c>
      <c r="C13" s="20">
        <v>4713</v>
      </c>
      <c r="D13" s="20">
        <v>0</v>
      </c>
      <c r="E13" s="20">
        <v>0</v>
      </c>
      <c r="F13" s="20">
        <v>4713</v>
      </c>
      <c r="G13" s="43">
        <v>4713</v>
      </c>
    </row>
    <row r="14" spans="1:7" x14ac:dyDescent="0.2">
      <c r="A14" s="42" t="s">
        <v>153</v>
      </c>
      <c r="B14" s="20">
        <v>3389</v>
      </c>
      <c r="C14" s="20">
        <v>3423</v>
      </c>
      <c r="D14" s="20">
        <v>0</v>
      </c>
      <c r="E14" s="20">
        <v>0</v>
      </c>
      <c r="F14" s="20">
        <v>3423</v>
      </c>
      <c r="G14" s="43">
        <v>3423</v>
      </c>
    </row>
    <row r="15" spans="1:7" x14ac:dyDescent="0.2">
      <c r="A15" s="42" t="s">
        <v>154</v>
      </c>
      <c r="B15" s="20">
        <v>102485</v>
      </c>
      <c r="C15" s="20">
        <v>103782</v>
      </c>
      <c r="D15" s="20">
        <v>0</v>
      </c>
      <c r="E15" s="20">
        <v>0</v>
      </c>
      <c r="F15" s="20">
        <v>103782</v>
      </c>
      <c r="G15" s="43">
        <v>103782</v>
      </c>
    </row>
    <row r="16" spans="1:7" x14ac:dyDescent="0.2">
      <c r="A16" s="42" t="s">
        <v>155</v>
      </c>
      <c r="B16" s="20">
        <v>50936</v>
      </c>
      <c r="C16" s="20">
        <v>51257</v>
      </c>
      <c r="D16" s="20">
        <v>0</v>
      </c>
      <c r="E16" s="20">
        <v>0</v>
      </c>
      <c r="F16" s="20">
        <v>51257</v>
      </c>
      <c r="G16" s="43">
        <v>51257</v>
      </c>
    </row>
    <row r="17" spans="1:7" x14ac:dyDescent="0.2">
      <c r="A17" s="42" t="s">
        <v>156</v>
      </c>
      <c r="B17" s="20">
        <v>6972</v>
      </c>
      <c r="C17" s="20">
        <v>6921</v>
      </c>
      <c r="D17" s="20">
        <v>0</v>
      </c>
      <c r="E17" s="20">
        <v>0</v>
      </c>
      <c r="F17" s="20">
        <v>6921</v>
      </c>
      <c r="G17" s="43">
        <v>6921</v>
      </c>
    </row>
    <row r="18" spans="1:7" x14ac:dyDescent="0.2">
      <c r="A18" s="42" t="s">
        <v>157</v>
      </c>
      <c r="B18" s="20">
        <v>8385</v>
      </c>
      <c r="C18" s="20">
        <v>8547</v>
      </c>
      <c r="D18" s="20">
        <v>0</v>
      </c>
      <c r="E18" s="20">
        <v>0</v>
      </c>
      <c r="F18" s="20">
        <v>8547</v>
      </c>
      <c r="G18" s="43">
        <v>8547</v>
      </c>
    </row>
    <row r="19" spans="1:7" x14ac:dyDescent="0.2">
      <c r="A19" s="42" t="s">
        <v>158</v>
      </c>
      <c r="B19" s="20">
        <v>62523</v>
      </c>
      <c r="C19" s="20">
        <v>62082</v>
      </c>
      <c r="D19" s="20">
        <v>0</v>
      </c>
      <c r="E19" s="20">
        <v>0</v>
      </c>
      <c r="F19" s="20">
        <v>62082</v>
      </c>
      <c r="G19" s="43">
        <v>62082</v>
      </c>
    </row>
    <row r="20" spans="1:7" x14ac:dyDescent="0.2">
      <c r="A20" s="42" t="s">
        <v>159</v>
      </c>
      <c r="B20" s="20">
        <v>32560</v>
      </c>
      <c r="C20" s="20">
        <v>32607</v>
      </c>
      <c r="D20" s="20">
        <v>0</v>
      </c>
      <c r="E20" s="20">
        <v>0</v>
      </c>
      <c r="F20" s="20">
        <v>32607</v>
      </c>
      <c r="G20" s="43">
        <v>32607</v>
      </c>
    </row>
    <row r="21" spans="1:7" x14ac:dyDescent="0.2">
      <c r="A21" s="42" t="s">
        <v>160</v>
      </c>
      <c r="B21" s="20">
        <v>15363</v>
      </c>
      <c r="C21" s="20">
        <v>15379</v>
      </c>
      <c r="D21" s="20">
        <v>0</v>
      </c>
      <c r="E21" s="20">
        <v>0</v>
      </c>
      <c r="F21" s="20">
        <v>15379</v>
      </c>
      <c r="G21" s="43">
        <v>15379</v>
      </c>
    </row>
    <row r="22" spans="1:7" x14ac:dyDescent="0.2">
      <c r="A22" s="42" t="s">
        <v>161</v>
      </c>
      <c r="B22" s="20">
        <v>14227</v>
      </c>
      <c r="C22" s="20">
        <v>14186</v>
      </c>
      <c r="D22" s="20">
        <v>0</v>
      </c>
      <c r="E22" s="20">
        <v>0</v>
      </c>
      <c r="F22" s="20">
        <v>14186</v>
      </c>
      <c r="G22" s="43">
        <v>14186</v>
      </c>
    </row>
    <row r="23" spans="1:7" x14ac:dyDescent="0.2">
      <c r="A23" s="42" t="s">
        <v>162</v>
      </c>
      <c r="B23" s="20">
        <v>21754</v>
      </c>
      <c r="C23" s="20">
        <v>21773</v>
      </c>
      <c r="D23" s="20">
        <v>0</v>
      </c>
      <c r="E23" s="20">
        <v>0</v>
      </c>
      <c r="F23" s="20">
        <v>21773</v>
      </c>
      <c r="G23" s="43">
        <v>21773</v>
      </c>
    </row>
    <row r="24" spans="1:7" x14ac:dyDescent="0.2">
      <c r="A24" s="42" t="s">
        <v>163</v>
      </c>
      <c r="B24" s="20">
        <v>22878</v>
      </c>
      <c r="C24" s="20">
        <v>22706</v>
      </c>
      <c r="D24" s="20">
        <v>0</v>
      </c>
      <c r="E24" s="20">
        <v>0</v>
      </c>
      <c r="F24" s="20">
        <v>22706</v>
      </c>
      <c r="G24" s="43">
        <v>22706</v>
      </c>
    </row>
    <row r="25" spans="1:7" x14ac:dyDescent="0.2">
      <c r="A25" s="42" t="s">
        <v>164</v>
      </c>
      <c r="B25" s="20">
        <v>6524</v>
      </c>
      <c r="C25" s="20">
        <v>6521</v>
      </c>
      <c r="D25" s="20">
        <v>0</v>
      </c>
      <c r="E25" s="20">
        <v>0</v>
      </c>
      <c r="F25" s="20">
        <v>6521</v>
      </c>
      <c r="G25" s="43">
        <v>6521</v>
      </c>
    </row>
    <row r="26" spans="1:7" x14ac:dyDescent="0.2">
      <c r="A26" s="42" t="s">
        <v>165</v>
      </c>
      <c r="B26" s="20">
        <v>29558</v>
      </c>
      <c r="C26" s="20">
        <v>29444</v>
      </c>
      <c r="D26" s="20">
        <v>0</v>
      </c>
      <c r="E26" s="20">
        <v>0</v>
      </c>
      <c r="F26" s="20">
        <v>29444</v>
      </c>
      <c r="G26" s="43">
        <v>29444</v>
      </c>
    </row>
    <row r="27" spans="1:7" x14ac:dyDescent="0.2">
      <c r="A27" s="42" t="s">
        <v>166</v>
      </c>
      <c r="B27" s="20">
        <v>33502</v>
      </c>
      <c r="C27" s="20">
        <v>33631</v>
      </c>
      <c r="D27" s="20">
        <v>0</v>
      </c>
      <c r="E27" s="20">
        <v>0</v>
      </c>
      <c r="F27" s="20">
        <v>33631</v>
      </c>
      <c r="G27" s="43">
        <v>33631</v>
      </c>
    </row>
    <row r="28" spans="1:7" x14ac:dyDescent="0.2">
      <c r="A28" s="42" t="s">
        <v>167</v>
      </c>
      <c r="B28" s="20">
        <v>48654</v>
      </c>
      <c r="C28" s="20">
        <v>48706</v>
      </c>
      <c r="D28" s="20">
        <v>0</v>
      </c>
      <c r="E28" s="20">
        <v>0</v>
      </c>
      <c r="F28" s="20">
        <v>48706</v>
      </c>
      <c r="G28" s="43">
        <v>48706</v>
      </c>
    </row>
    <row r="29" spans="1:7" x14ac:dyDescent="0.2">
      <c r="A29" s="42" t="s">
        <v>168</v>
      </c>
      <c r="B29" s="20">
        <v>27235</v>
      </c>
      <c r="C29" s="20">
        <v>27341</v>
      </c>
      <c r="D29" s="20">
        <v>0</v>
      </c>
      <c r="E29" s="20">
        <v>0</v>
      </c>
      <c r="F29" s="20">
        <v>27341</v>
      </c>
      <c r="G29" s="43">
        <v>27341</v>
      </c>
    </row>
    <row r="30" spans="1:7" x14ac:dyDescent="0.2">
      <c r="A30" s="42" t="s">
        <v>169</v>
      </c>
      <c r="B30" s="20">
        <v>14574</v>
      </c>
      <c r="C30" s="20">
        <v>14552</v>
      </c>
      <c r="D30" s="20">
        <v>0</v>
      </c>
      <c r="E30" s="20">
        <v>0</v>
      </c>
      <c r="F30" s="20">
        <v>14552</v>
      </c>
      <c r="G30" s="43">
        <v>14552</v>
      </c>
    </row>
    <row r="31" spans="1:7" x14ac:dyDescent="0.2">
      <c r="A31" s="42" t="s">
        <v>170</v>
      </c>
      <c r="B31" s="20">
        <v>29858</v>
      </c>
      <c r="C31" s="20">
        <v>29852</v>
      </c>
      <c r="D31" s="20">
        <v>0</v>
      </c>
      <c r="E31" s="20">
        <v>0</v>
      </c>
      <c r="F31" s="20">
        <v>29852</v>
      </c>
      <c r="G31" s="43">
        <v>29852</v>
      </c>
    </row>
    <row r="32" spans="1:7" x14ac:dyDescent="0.2">
      <c r="A32" s="42" t="s">
        <v>171</v>
      </c>
      <c r="B32" s="20">
        <v>5131</v>
      </c>
      <c r="C32" s="20">
        <v>5176</v>
      </c>
      <c r="D32" s="20">
        <v>0</v>
      </c>
      <c r="E32" s="20">
        <v>0</v>
      </c>
      <c r="F32" s="20">
        <v>5176</v>
      </c>
      <c r="G32" s="43">
        <v>5176</v>
      </c>
    </row>
    <row r="33" spans="1:7" x14ac:dyDescent="0.2">
      <c r="A33" s="42" t="s">
        <v>172</v>
      </c>
      <c r="B33" s="20">
        <v>9377</v>
      </c>
      <c r="C33" s="20">
        <v>9400</v>
      </c>
      <c r="D33" s="20">
        <v>0</v>
      </c>
      <c r="E33" s="20">
        <v>0</v>
      </c>
      <c r="F33" s="20">
        <v>9400</v>
      </c>
      <c r="G33" s="43">
        <v>9400</v>
      </c>
    </row>
    <row r="34" spans="1:7" x14ac:dyDescent="0.2">
      <c r="A34" s="42" t="s">
        <v>173</v>
      </c>
      <c r="B34" s="20">
        <v>14642</v>
      </c>
      <c r="C34" s="20">
        <v>14785</v>
      </c>
      <c r="D34" s="20">
        <v>0</v>
      </c>
      <c r="E34" s="20">
        <v>0</v>
      </c>
      <c r="F34" s="20">
        <v>14785</v>
      </c>
      <c r="G34" s="43">
        <v>14785</v>
      </c>
    </row>
    <row r="35" spans="1:7" x14ac:dyDescent="0.2">
      <c r="A35" s="42" t="s">
        <v>174</v>
      </c>
      <c r="B35" s="20">
        <v>6558</v>
      </c>
      <c r="C35" s="20">
        <v>6609</v>
      </c>
      <c r="D35" s="20">
        <v>0</v>
      </c>
      <c r="E35" s="20">
        <v>0</v>
      </c>
      <c r="F35" s="20">
        <v>6609</v>
      </c>
      <c r="G35" s="43">
        <v>6609</v>
      </c>
    </row>
    <row r="36" spans="1:7" x14ac:dyDescent="0.2">
      <c r="A36" s="42" t="s">
        <v>175</v>
      </c>
      <c r="B36" s="20">
        <v>43982</v>
      </c>
      <c r="C36" s="20">
        <v>43407</v>
      </c>
      <c r="D36" s="20">
        <v>0</v>
      </c>
      <c r="E36" s="20">
        <v>0</v>
      </c>
      <c r="F36" s="20">
        <v>43407</v>
      </c>
      <c r="G36" s="43">
        <v>43407</v>
      </c>
    </row>
    <row r="37" spans="1:7" x14ac:dyDescent="0.2">
      <c r="A37" s="42" t="s">
        <v>176</v>
      </c>
      <c r="B37" s="20">
        <v>10198</v>
      </c>
      <c r="C37" s="20">
        <v>10210</v>
      </c>
      <c r="D37" s="20">
        <v>0</v>
      </c>
      <c r="E37" s="20">
        <v>0</v>
      </c>
      <c r="F37" s="20">
        <v>10210</v>
      </c>
      <c r="G37" s="43">
        <v>10210</v>
      </c>
    </row>
    <row r="38" spans="1:7" x14ac:dyDescent="0.2">
      <c r="A38" s="42" t="s">
        <v>177</v>
      </c>
      <c r="B38" s="20">
        <v>96941</v>
      </c>
      <c r="C38" s="20">
        <v>95221</v>
      </c>
      <c r="D38" s="20">
        <v>0</v>
      </c>
      <c r="E38" s="20">
        <v>0</v>
      </c>
      <c r="F38" s="20">
        <v>95221</v>
      </c>
      <c r="G38" s="43">
        <v>95221</v>
      </c>
    </row>
    <row r="39" spans="1:7" x14ac:dyDescent="0.2">
      <c r="A39" s="42" t="s">
        <v>178</v>
      </c>
      <c r="B39" s="20">
        <v>50174</v>
      </c>
      <c r="C39" s="20">
        <v>50595</v>
      </c>
      <c r="D39" s="20">
        <v>0</v>
      </c>
      <c r="E39" s="20">
        <v>0</v>
      </c>
      <c r="F39" s="20">
        <v>50595</v>
      </c>
      <c r="G39" s="43">
        <v>50595</v>
      </c>
    </row>
    <row r="40" spans="1:7" x14ac:dyDescent="0.2">
      <c r="A40" s="42" t="s">
        <v>179</v>
      </c>
      <c r="B40" s="20">
        <v>3689</v>
      </c>
      <c r="C40" s="20">
        <v>3704</v>
      </c>
      <c r="D40" s="20">
        <v>0</v>
      </c>
      <c r="E40" s="20">
        <v>0</v>
      </c>
      <c r="F40" s="20">
        <v>3704</v>
      </c>
      <c r="G40" s="43">
        <v>3704</v>
      </c>
    </row>
    <row r="41" spans="1:7" x14ac:dyDescent="0.2">
      <c r="A41" s="42" t="s">
        <v>180</v>
      </c>
      <c r="B41" s="20">
        <v>56939</v>
      </c>
      <c r="C41" s="20">
        <v>56958</v>
      </c>
      <c r="D41" s="20">
        <v>0</v>
      </c>
      <c r="E41" s="20">
        <v>0</v>
      </c>
      <c r="F41" s="20">
        <v>56958</v>
      </c>
      <c r="G41" s="43">
        <v>56958</v>
      </c>
    </row>
    <row r="42" spans="1:7" x14ac:dyDescent="0.2">
      <c r="A42" s="42" t="s">
        <v>181</v>
      </c>
      <c r="B42" s="20">
        <v>19198</v>
      </c>
      <c r="C42" s="20">
        <v>19213</v>
      </c>
      <c r="D42" s="20">
        <v>0</v>
      </c>
      <c r="E42" s="20">
        <v>0</v>
      </c>
      <c r="F42" s="20">
        <v>19213</v>
      </c>
      <c r="G42" s="43">
        <v>19213</v>
      </c>
    </row>
    <row r="43" spans="1:7" x14ac:dyDescent="0.2">
      <c r="A43" s="42" t="s">
        <v>182</v>
      </c>
      <c r="B43" s="20">
        <v>20233</v>
      </c>
      <c r="C43" s="20">
        <v>20419</v>
      </c>
      <c r="D43" s="20">
        <v>0</v>
      </c>
      <c r="E43" s="20">
        <v>0</v>
      </c>
      <c r="F43" s="20">
        <v>20419</v>
      </c>
      <c r="G43" s="43">
        <v>20419</v>
      </c>
    </row>
    <row r="44" spans="1:7" x14ac:dyDescent="0.2">
      <c r="A44" s="42" t="s">
        <v>183</v>
      </c>
      <c r="B44" s="20">
        <v>62540</v>
      </c>
      <c r="C44" s="20">
        <v>62403</v>
      </c>
      <c r="D44" s="20">
        <v>0</v>
      </c>
      <c r="E44" s="20">
        <v>0</v>
      </c>
      <c r="F44" s="20">
        <v>62403</v>
      </c>
      <c r="G44" s="43">
        <v>62403</v>
      </c>
    </row>
    <row r="45" spans="1:7" x14ac:dyDescent="0.2">
      <c r="A45" s="42" t="s">
        <v>184</v>
      </c>
      <c r="B45" s="20">
        <v>5175</v>
      </c>
      <c r="C45" s="20">
        <v>5152</v>
      </c>
      <c r="D45" s="20">
        <v>0</v>
      </c>
      <c r="E45" s="20">
        <v>0</v>
      </c>
      <c r="F45" s="20">
        <v>5152</v>
      </c>
      <c r="G45" s="43">
        <v>5152</v>
      </c>
    </row>
    <row r="46" spans="1:7" x14ac:dyDescent="0.2">
      <c r="A46" s="42" t="s">
        <v>185</v>
      </c>
      <c r="B46" s="20">
        <v>24538</v>
      </c>
      <c r="C46" s="20">
        <v>24773</v>
      </c>
      <c r="D46" s="20">
        <v>0</v>
      </c>
      <c r="E46" s="20">
        <v>0</v>
      </c>
      <c r="F46" s="20">
        <v>24773</v>
      </c>
      <c r="G46" s="43">
        <v>24773</v>
      </c>
    </row>
    <row r="47" spans="1:7" x14ac:dyDescent="0.2">
      <c r="A47" s="42" t="s">
        <v>186</v>
      </c>
      <c r="B47" s="20">
        <v>4247</v>
      </c>
      <c r="C47" s="20">
        <v>4299</v>
      </c>
      <c r="D47" s="20">
        <v>0</v>
      </c>
      <c r="E47" s="20">
        <v>0</v>
      </c>
      <c r="F47" s="20">
        <v>4299</v>
      </c>
      <c r="G47" s="43">
        <v>4299</v>
      </c>
    </row>
    <row r="48" spans="1:7" x14ac:dyDescent="0.2">
      <c r="A48" s="42" t="s">
        <v>187</v>
      </c>
      <c r="B48" s="20">
        <v>32800</v>
      </c>
      <c r="C48" s="20">
        <v>32987</v>
      </c>
      <c r="D48" s="20">
        <v>0</v>
      </c>
      <c r="E48" s="20">
        <v>0</v>
      </c>
      <c r="F48" s="20">
        <v>32987</v>
      </c>
      <c r="G48" s="43">
        <v>32987</v>
      </c>
    </row>
    <row r="49" spans="1:7" x14ac:dyDescent="0.2">
      <c r="A49" s="42" t="s">
        <v>188</v>
      </c>
      <c r="B49" s="20">
        <v>138235</v>
      </c>
      <c r="C49" s="20">
        <v>139851</v>
      </c>
      <c r="D49" s="20">
        <v>0</v>
      </c>
      <c r="E49" s="20">
        <v>0</v>
      </c>
      <c r="F49" s="20">
        <v>139851</v>
      </c>
      <c r="G49" s="43">
        <v>139851</v>
      </c>
    </row>
    <row r="50" spans="1:7" x14ac:dyDescent="0.2">
      <c r="A50" s="42" t="s">
        <v>189</v>
      </c>
      <c r="B50" s="20">
        <v>15149</v>
      </c>
      <c r="C50" s="20">
        <v>15403</v>
      </c>
      <c r="D50" s="20">
        <v>0</v>
      </c>
      <c r="E50" s="20">
        <v>0</v>
      </c>
      <c r="F50" s="20">
        <v>15403</v>
      </c>
      <c r="G50" s="43">
        <v>15403</v>
      </c>
    </row>
    <row r="51" spans="1:7" x14ac:dyDescent="0.2">
      <c r="A51" s="42" t="s">
        <v>190</v>
      </c>
      <c r="B51" s="20">
        <v>3046</v>
      </c>
      <c r="C51" s="20">
        <v>3052</v>
      </c>
      <c r="D51" s="20">
        <v>0</v>
      </c>
      <c r="E51" s="20">
        <v>0</v>
      </c>
      <c r="F51" s="20">
        <v>3052</v>
      </c>
      <c r="G51" s="43">
        <v>3052</v>
      </c>
    </row>
    <row r="52" spans="1:7" x14ac:dyDescent="0.2">
      <c r="A52" s="42" t="s">
        <v>191</v>
      </c>
      <c r="B52" s="20">
        <v>41366</v>
      </c>
      <c r="C52" s="20">
        <v>41503</v>
      </c>
      <c r="D52" s="20">
        <v>0</v>
      </c>
      <c r="E52" s="20">
        <v>0</v>
      </c>
      <c r="F52" s="20">
        <v>41503</v>
      </c>
      <c r="G52" s="43">
        <v>41503</v>
      </c>
    </row>
    <row r="53" spans="1:7" x14ac:dyDescent="0.2">
      <c r="A53" s="42" t="s">
        <v>192</v>
      </c>
      <c r="B53" s="20">
        <v>36169</v>
      </c>
      <c r="C53" s="20">
        <v>36718</v>
      </c>
      <c r="D53" s="20">
        <v>0</v>
      </c>
      <c r="E53" s="20">
        <v>0</v>
      </c>
      <c r="F53" s="20">
        <v>36718</v>
      </c>
      <c r="G53" s="43">
        <v>36718</v>
      </c>
    </row>
    <row r="54" spans="1:7" x14ac:dyDescent="0.2">
      <c r="A54" s="42" t="s">
        <v>193</v>
      </c>
      <c r="B54" s="20">
        <v>8868</v>
      </c>
      <c r="C54" s="20">
        <v>8799</v>
      </c>
      <c r="D54" s="20">
        <v>0</v>
      </c>
      <c r="E54" s="20">
        <v>0</v>
      </c>
      <c r="F54" s="20">
        <v>8799</v>
      </c>
      <c r="G54" s="43">
        <v>8799</v>
      </c>
    </row>
    <row r="55" spans="1:7" x14ac:dyDescent="0.2">
      <c r="A55" s="42" t="s">
        <v>194</v>
      </c>
      <c r="B55" s="20">
        <v>28304</v>
      </c>
      <c r="C55" s="20">
        <v>28327</v>
      </c>
      <c r="D55" s="20">
        <v>0</v>
      </c>
      <c r="E55" s="20">
        <v>0</v>
      </c>
      <c r="F55" s="20">
        <v>28327</v>
      </c>
      <c r="G55" s="43">
        <v>28327</v>
      </c>
    </row>
    <row r="56" spans="1:7" x14ac:dyDescent="0.2">
      <c r="A56" s="42" t="s">
        <v>195</v>
      </c>
      <c r="B56" s="20">
        <v>2829</v>
      </c>
      <c r="C56" s="20">
        <v>2815</v>
      </c>
      <c r="D56" s="20">
        <v>0</v>
      </c>
      <c r="E56" s="20">
        <v>0</v>
      </c>
      <c r="F56" s="20">
        <v>2815</v>
      </c>
      <c r="G56" s="43">
        <v>2815</v>
      </c>
    </row>
    <row r="57" spans="1:7" x14ac:dyDescent="0.2">
      <c r="A57" s="42" t="s">
        <v>196</v>
      </c>
      <c r="B57" s="20">
        <v>57</v>
      </c>
      <c r="C57" s="20">
        <v>57</v>
      </c>
      <c r="D57" s="20">
        <v>0</v>
      </c>
      <c r="E57" s="20">
        <v>0</v>
      </c>
      <c r="F57" s="20">
        <v>57</v>
      </c>
      <c r="G57" s="43">
        <v>57</v>
      </c>
    </row>
    <row r="58" spans="1:7" x14ac:dyDescent="0.2">
      <c r="A58" s="42" t="s">
        <v>197</v>
      </c>
      <c r="B58" s="20">
        <v>276</v>
      </c>
      <c r="C58" s="20">
        <v>276</v>
      </c>
      <c r="D58" s="20">
        <v>0</v>
      </c>
      <c r="E58" s="20">
        <v>0</v>
      </c>
      <c r="F58" s="20">
        <v>276</v>
      </c>
      <c r="G58" s="43">
        <v>276</v>
      </c>
    </row>
    <row r="59" spans="1:7" x14ac:dyDescent="0.2">
      <c r="A59" s="42" t="s">
        <v>198</v>
      </c>
      <c r="B59" s="20">
        <v>55</v>
      </c>
      <c r="C59" s="20">
        <v>55</v>
      </c>
      <c r="D59" s="20">
        <v>0</v>
      </c>
      <c r="E59" s="20">
        <v>0</v>
      </c>
      <c r="F59" s="20">
        <v>55</v>
      </c>
      <c r="G59" s="43">
        <v>55</v>
      </c>
    </row>
    <row r="60" spans="1:7" x14ac:dyDescent="0.2">
      <c r="A60" s="42" t="s">
        <v>199</v>
      </c>
      <c r="B60" s="20">
        <v>8274</v>
      </c>
      <c r="C60" s="20">
        <v>8292</v>
      </c>
      <c r="D60" s="20">
        <v>0</v>
      </c>
      <c r="E60" s="20">
        <v>0</v>
      </c>
      <c r="F60" s="20">
        <v>8292</v>
      </c>
      <c r="G60" s="43">
        <v>8292</v>
      </c>
    </row>
    <row r="61" spans="1:7" x14ac:dyDescent="0.2">
      <c r="A61" s="42" t="s">
        <v>200</v>
      </c>
      <c r="B61" s="20">
        <v>0</v>
      </c>
      <c r="C61" s="20">
        <v>0</v>
      </c>
      <c r="D61" s="20">
        <v>0</v>
      </c>
      <c r="E61" s="20">
        <v>0</v>
      </c>
      <c r="F61" s="20">
        <v>0</v>
      </c>
      <c r="G61" s="43">
        <v>0</v>
      </c>
    </row>
    <row r="62" spans="1:7" x14ac:dyDescent="0.2">
      <c r="A62" s="42" t="s">
        <v>201</v>
      </c>
      <c r="B62" s="20">
        <v>276</v>
      </c>
      <c r="C62" s="20">
        <v>276</v>
      </c>
      <c r="D62" s="20">
        <v>0</v>
      </c>
      <c r="E62" s="20">
        <v>0</v>
      </c>
      <c r="F62" s="20">
        <v>276</v>
      </c>
      <c r="G62" s="43">
        <v>276</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1599700</v>
      </c>
      <c r="C65" s="45">
        <v>1603100</v>
      </c>
      <c r="D65" s="45">
        <v>0</v>
      </c>
      <c r="E65" s="45">
        <v>0</v>
      </c>
      <c r="F65" s="45">
        <v>1603100</v>
      </c>
      <c r="G65" s="51">
        <v>1603100</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68"/>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5" t="s">
        <v>227</v>
      </c>
      <c r="B1" s="16"/>
      <c r="C1" s="16"/>
      <c r="D1" s="16"/>
      <c r="E1" s="16"/>
      <c r="F1" s="16"/>
      <c r="G1" s="21" t="s">
        <v>228</v>
      </c>
    </row>
    <row r="2" spans="1:7" x14ac:dyDescent="0.2">
      <c r="A2" s="17" t="s">
        <v>346</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19601</v>
      </c>
      <c r="C6" s="20" t="s">
        <v>431</v>
      </c>
      <c r="D6" s="20" t="s">
        <v>431</v>
      </c>
      <c r="E6" s="20" t="s">
        <v>431</v>
      </c>
      <c r="F6" s="20" t="s">
        <v>431</v>
      </c>
      <c r="G6" s="43" t="s">
        <v>433</v>
      </c>
    </row>
    <row r="7" spans="1:7" x14ac:dyDescent="0.2">
      <c r="A7" s="42" t="s">
        <v>146</v>
      </c>
      <c r="B7" s="20">
        <v>1060</v>
      </c>
      <c r="C7" s="20" t="s">
        <v>431</v>
      </c>
      <c r="D7" s="20" t="s">
        <v>431</v>
      </c>
      <c r="E7" s="20" t="s">
        <v>431</v>
      </c>
      <c r="F7" s="20" t="s">
        <v>431</v>
      </c>
      <c r="G7" s="43" t="s">
        <v>433</v>
      </c>
    </row>
    <row r="8" spans="1:7" x14ac:dyDescent="0.2">
      <c r="A8" s="42" t="s">
        <v>147</v>
      </c>
      <c r="B8" s="20">
        <v>18813</v>
      </c>
      <c r="C8" s="20" t="s">
        <v>431</v>
      </c>
      <c r="D8" s="20" t="s">
        <v>431</v>
      </c>
      <c r="E8" s="20" t="s">
        <v>431</v>
      </c>
      <c r="F8" s="20" t="s">
        <v>431</v>
      </c>
      <c r="G8" s="43" t="s">
        <v>433</v>
      </c>
    </row>
    <row r="9" spans="1:7" x14ac:dyDescent="0.2">
      <c r="A9" s="42" t="s">
        <v>148</v>
      </c>
      <c r="B9" s="20">
        <v>7869</v>
      </c>
      <c r="C9" s="20" t="s">
        <v>431</v>
      </c>
      <c r="D9" s="20" t="s">
        <v>431</v>
      </c>
      <c r="E9" s="20" t="s">
        <v>431</v>
      </c>
      <c r="F9" s="20" t="s">
        <v>431</v>
      </c>
      <c r="G9" s="43" t="s">
        <v>433</v>
      </c>
    </row>
    <row r="10" spans="1:7" x14ac:dyDescent="0.2">
      <c r="A10" s="42" t="s">
        <v>149</v>
      </c>
      <c r="B10" s="20">
        <v>146344</v>
      </c>
      <c r="C10" s="20" t="s">
        <v>431</v>
      </c>
      <c r="D10" s="20" t="s">
        <v>431</v>
      </c>
      <c r="E10" s="20" t="s">
        <v>431</v>
      </c>
      <c r="F10" s="20" t="s">
        <v>431</v>
      </c>
      <c r="G10" s="43" t="s">
        <v>433</v>
      </c>
    </row>
    <row r="11" spans="1:7" x14ac:dyDescent="0.2">
      <c r="A11" s="42" t="s">
        <v>150</v>
      </c>
      <c r="B11" s="20">
        <v>13730</v>
      </c>
      <c r="C11" s="20" t="s">
        <v>431</v>
      </c>
      <c r="D11" s="20" t="s">
        <v>431</v>
      </c>
      <c r="E11" s="20" t="s">
        <v>431</v>
      </c>
      <c r="F11" s="20" t="s">
        <v>431</v>
      </c>
      <c r="G11" s="43" t="s">
        <v>433</v>
      </c>
    </row>
    <row r="12" spans="1:7" x14ac:dyDescent="0.2">
      <c r="A12" s="42" t="s">
        <v>151</v>
      </c>
      <c r="B12" s="20">
        <v>10790</v>
      </c>
      <c r="C12" s="20" t="s">
        <v>431</v>
      </c>
      <c r="D12" s="20" t="s">
        <v>431</v>
      </c>
      <c r="E12" s="20" t="s">
        <v>431</v>
      </c>
      <c r="F12" s="20" t="s">
        <v>431</v>
      </c>
      <c r="G12" s="43" t="s">
        <v>433</v>
      </c>
    </row>
    <row r="13" spans="1:7" x14ac:dyDescent="0.2">
      <c r="A13" s="42" t="s">
        <v>152</v>
      </c>
      <c r="B13" s="20">
        <v>4626</v>
      </c>
      <c r="C13" s="20" t="s">
        <v>431</v>
      </c>
      <c r="D13" s="20" t="s">
        <v>431</v>
      </c>
      <c r="E13" s="20" t="s">
        <v>431</v>
      </c>
      <c r="F13" s="20" t="s">
        <v>431</v>
      </c>
      <c r="G13" s="43" t="s">
        <v>433</v>
      </c>
    </row>
    <row r="14" spans="1:7" x14ac:dyDescent="0.2">
      <c r="A14" s="42" t="s">
        <v>153</v>
      </c>
      <c r="B14" s="20">
        <v>17331</v>
      </c>
      <c r="C14" s="20" t="s">
        <v>431</v>
      </c>
      <c r="D14" s="20" t="s">
        <v>431</v>
      </c>
      <c r="E14" s="20" t="s">
        <v>431</v>
      </c>
      <c r="F14" s="20" t="s">
        <v>431</v>
      </c>
      <c r="G14" s="43" t="s">
        <v>433</v>
      </c>
    </row>
    <row r="15" spans="1:7" x14ac:dyDescent="0.2">
      <c r="A15" s="42" t="s">
        <v>154</v>
      </c>
      <c r="B15" s="20">
        <v>126929</v>
      </c>
      <c r="C15" s="20" t="s">
        <v>431</v>
      </c>
      <c r="D15" s="20" t="s">
        <v>431</v>
      </c>
      <c r="E15" s="20" t="s">
        <v>431</v>
      </c>
      <c r="F15" s="20" t="s">
        <v>431</v>
      </c>
      <c r="G15" s="43" t="s">
        <v>433</v>
      </c>
    </row>
    <row r="16" spans="1:7" x14ac:dyDescent="0.2">
      <c r="A16" s="42" t="s">
        <v>155</v>
      </c>
      <c r="B16" s="20">
        <v>73169</v>
      </c>
      <c r="C16" s="20" t="s">
        <v>431</v>
      </c>
      <c r="D16" s="20" t="s">
        <v>431</v>
      </c>
      <c r="E16" s="20" t="s">
        <v>431</v>
      </c>
      <c r="F16" s="20" t="s">
        <v>431</v>
      </c>
      <c r="G16" s="43" t="s">
        <v>433</v>
      </c>
    </row>
    <row r="17" spans="1:7" x14ac:dyDescent="0.2">
      <c r="A17" s="42" t="s">
        <v>156</v>
      </c>
      <c r="B17" s="20">
        <v>4056</v>
      </c>
      <c r="C17" s="20" t="s">
        <v>431</v>
      </c>
      <c r="D17" s="20" t="s">
        <v>431</v>
      </c>
      <c r="E17" s="20" t="s">
        <v>431</v>
      </c>
      <c r="F17" s="20" t="s">
        <v>431</v>
      </c>
      <c r="G17" s="43" t="s">
        <v>433</v>
      </c>
    </row>
    <row r="18" spans="1:7" x14ac:dyDescent="0.2">
      <c r="A18" s="42" t="s">
        <v>157</v>
      </c>
      <c r="B18" s="20">
        <v>3942</v>
      </c>
      <c r="C18" s="20" t="s">
        <v>431</v>
      </c>
      <c r="D18" s="20" t="s">
        <v>431</v>
      </c>
      <c r="E18" s="20" t="s">
        <v>431</v>
      </c>
      <c r="F18" s="20" t="s">
        <v>431</v>
      </c>
      <c r="G18" s="43" t="s">
        <v>433</v>
      </c>
    </row>
    <row r="19" spans="1:7" x14ac:dyDescent="0.2">
      <c r="A19" s="42" t="s">
        <v>158</v>
      </c>
      <c r="B19" s="20">
        <v>46691</v>
      </c>
      <c r="C19" s="20" t="s">
        <v>431</v>
      </c>
      <c r="D19" s="20" t="s">
        <v>431</v>
      </c>
      <c r="E19" s="20" t="s">
        <v>431</v>
      </c>
      <c r="F19" s="20" t="s">
        <v>431</v>
      </c>
      <c r="G19" s="43" t="s">
        <v>433</v>
      </c>
    </row>
    <row r="20" spans="1:7" x14ac:dyDescent="0.2">
      <c r="A20" s="42" t="s">
        <v>159</v>
      </c>
      <c r="B20" s="20">
        <v>23076</v>
      </c>
      <c r="C20" s="20" t="s">
        <v>431</v>
      </c>
      <c r="D20" s="20" t="s">
        <v>431</v>
      </c>
      <c r="E20" s="20" t="s">
        <v>431</v>
      </c>
      <c r="F20" s="20" t="s">
        <v>431</v>
      </c>
      <c r="G20" s="43" t="s">
        <v>433</v>
      </c>
    </row>
    <row r="21" spans="1:7" x14ac:dyDescent="0.2">
      <c r="A21" s="42" t="s">
        <v>160</v>
      </c>
      <c r="B21" s="20">
        <v>12059</v>
      </c>
      <c r="C21" s="20" t="s">
        <v>431</v>
      </c>
      <c r="D21" s="20" t="s">
        <v>431</v>
      </c>
      <c r="E21" s="20" t="s">
        <v>431</v>
      </c>
      <c r="F21" s="20" t="s">
        <v>431</v>
      </c>
      <c r="G21" s="43" t="s">
        <v>433</v>
      </c>
    </row>
    <row r="22" spans="1:7" x14ac:dyDescent="0.2">
      <c r="A22" s="42" t="s">
        <v>161</v>
      </c>
      <c r="B22" s="20">
        <v>5397</v>
      </c>
      <c r="C22" s="20" t="s">
        <v>431</v>
      </c>
      <c r="D22" s="20" t="s">
        <v>431</v>
      </c>
      <c r="E22" s="20" t="s">
        <v>431</v>
      </c>
      <c r="F22" s="20" t="s">
        <v>431</v>
      </c>
      <c r="G22" s="43" t="s">
        <v>433</v>
      </c>
    </row>
    <row r="23" spans="1:7" x14ac:dyDescent="0.2">
      <c r="A23" s="42" t="s">
        <v>162</v>
      </c>
      <c r="B23" s="20">
        <v>12412</v>
      </c>
      <c r="C23" s="20" t="s">
        <v>431</v>
      </c>
      <c r="D23" s="20" t="s">
        <v>431</v>
      </c>
      <c r="E23" s="20" t="s">
        <v>431</v>
      </c>
      <c r="F23" s="20" t="s">
        <v>431</v>
      </c>
      <c r="G23" s="43" t="s">
        <v>433</v>
      </c>
    </row>
    <row r="24" spans="1:7" x14ac:dyDescent="0.2">
      <c r="A24" s="42" t="s">
        <v>163</v>
      </c>
      <c r="B24" s="20">
        <v>23567</v>
      </c>
      <c r="C24" s="20" t="s">
        <v>431</v>
      </c>
      <c r="D24" s="20" t="s">
        <v>431</v>
      </c>
      <c r="E24" s="20" t="s">
        <v>431</v>
      </c>
      <c r="F24" s="20" t="s">
        <v>431</v>
      </c>
      <c r="G24" s="43" t="s">
        <v>433</v>
      </c>
    </row>
    <row r="25" spans="1:7" x14ac:dyDescent="0.2">
      <c r="A25" s="42" t="s">
        <v>164</v>
      </c>
      <c r="B25" s="20">
        <v>1930</v>
      </c>
      <c r="C25" s="20" t="s">
        <v>431</v>
      </c>
      <c r="D25" s="20" t="s">
        <v>431</v>
      </c>
      <c r="E25" s="20" t="s">
        <v>431</v>
      </c>
      <c r="F25" s="20" t="s">
        <v>431</v>
      </c>
      <c r="G25" s="43" t="s">
        <v>433</v>
      </c>
    </row>
    <row r="26" spans="1:7" x14ac:dyDescent="0.2">
      <c r="A26" s="42" t="s">
        <v>165</v>
      </c>
      <c r="B26" s="20">
        <v>36797</v>
      </c>
      <c r="C26" s="20" t="s">
        <v>431</v>
      </c>
      <c r="D26" s="20" t="s">
        <v>431</v>
      </c>
      <c r="E26" s="20" t="s">
        <v>431</v>
      </c>
      <c r="F26" s="20" t="s">
        <v>431</v>
      </c>
      <c r="G26" s="43" t="s">
        <v>433</v>
      </c>
    </row>
    <row r="27" spans="1:7" x14ac:dyDescent="0.2">
      <c r="A27" s="42" t="s">
        <v>166</v>
      </c>
      <c r="B27" s="20">
        <v>25699</v>
      </c>
      <c r="C27" s="20" t="s">
        <v>431</v>
      </c>
      <c r="D27" s="20" t="s">
        <v>431</v>
      </c>
      <c r="E27" s="20" t="s">
        <v>431</v>
      </c>
      <c r="F27" s="20" t="s">
        <v>431</v>
      </c>
      <c r="G27" s="43" t="s">
        <v>433</v>
      </c>
    </row>
    <row r="28" spans="1:7" x14ac:dyDescent="0.2">
      <c r="A28" s="42" t="s">
        <v>167</v>
      </c>
      <c r="B28" s="20">
        <v>18187</v>
      </c>
      <c r="C28" s="20" t="s">
        <v>431</v>
      </c>
      <c r="D28" s="20" t="s">
        <v>431</v>
      </c>
      <c r="E28" s="20" t="s">
        <v>431</v>
      </c>
      <c r="F28" s="20" t="s">
        <v>431</v>
      </c>
      <c r="G28" s="43" t="s">
        <v>433</v>
      </c>
    </row>
    <row r="29" spans="1:7" x14ac:dyDescent="0.2">
      <c r="A29" s="42" t="s">
        <v>168</v>
      </c>
      <c r="B29" s="20">
        <v>9717</v>
      </c>
      <c r="C29" s="20" t="s">
        <v>431</v>
      </c>
      <c r="D29" s="20" t="s">
        <v>431</v>
      </c>
      <c r="E29" s="20" t="s">
        <v>431</v>
      </c>
      <c r="F29" s="20" t="s">
        <v>431</v>
      </c>
      <c r="G29" s="43" t="s">
        <v>433</v>
      </c>
    </row>
    <row r="30" spans="1:7" x14ac:dyDescent="0.2">
      <c r="A30" s="42" t="s">
        <v>169</v>
      </c>
      <c r="B30" s="20">
        <v>13842</v>
      </c>
      <c r="C30" s="20" t="s">
        <v>431</v>
      </c>
      <c r="D30" s="20" t="s">
        <v>431</v>
      </c>
      <c r="E30" s="20" t="s">
        <v>431</v>
      </c>
      <c r="F30" s="20" t="s">
        <v>431</v>
      </c>
      <c r="G30" s="43" t="s">
        <v>433</v>
      </c>
    </row>
    <row r="31" spans="1:7" x14ac:dyDescent="0.2">
      <c r="A31" s="42" t="s">
        <v>170</v>
      </c>
      <c r="B31" s="20">
        <v>13421</v>
      </c>
      <c r="C31" s="20" t="s">
        <v>431</v>
      </c>
      <c r="D31" s="20" t="s">
        <v>431</v>
      </c>
      <c r="E31" s="20" t="s">
        <v>431</v>
      </c>
      <c r="F31" s="20" t="s">
        <v>431</v>
      </c>
      <c r="G31" s="43" t="s">
        <v>433</v>
      </c>
    </row>
    <row r="32" spans="1:7" x14ac:dyDescent="0.2">
      <c r="A32" s="42" t="s">
        <v>171</v>
      </c>
      <c r="B32" s="20">
        <v>861</v>
      </c>
      <c r="C32" s="20" t="s">
        <v>431</v>
      </c>
      <c r="D32" s="20" t="s">
        <v>431</v>
      </c>
      <c r="E32" s="20" t="s">
        <v>431</v>
      </c>
      <c r="F32" s="20" t="s">
        <v>431</v>
      </c>
      <c r="G32" s="43" t="s">
        <v>433</v>
      </c>
    </row>
    <row r="33" spans="1:7" x14ac:dyDescent="0.2">
      <c r="A33" s="42" t="s">
        <v>172</v>
      </c>
      <c r="B33" s="20">
        <v>2846</v>
      </c>
      <c r="C33" s="20" t="s">
        <v>431</v>
      </c>
      <c r="D33" s="20" t="s">
        <v>431</v>
      </c>
      <c r="E33" s="20" t="s">
        <v>431</v>
      </c>
      <c r="F33" s="20" t="s">
        <v>431</v>
      </c>
      <c r="G33" s="43" t="s">
        <v>433</v>
      </c>
    </row>
    <row r="34" spans="1:7" x14ac:dyDescent="0.2">
      <c r="A34" s="42" t="s">
        <v>173</v>
      </c>
      <c r="B34" s="20">
        <v>9096</v>
      </c>
      <c r="C34" s="20" t="s">
        <v>431</v>
      </c>
      <c r="D34" s="20" t="s">
        <v>431</v>
      </c>
      <c r="E34" s="20" t="s">
        <v>431</v>
      </c>
      <c r="F34" s="20" t="s">
        <v>431</v>
      </c>
      <c r="G34" s="43" t="s">
        <v>433</v>
      </c>
    </row>
    <row r="35" spans="1:7" x14ac:dyDescent="0.2">
      <c r="A35" s="42" t="s">
        <v>174</v>
      </c>
      <c r="B35" s="20">
        <v>1434</v>
      </c>
      <c r="C35" s="20" t="s">
        <v>431</v>
      </c>
      <c r="D35" s="20" t="s">
        <v>431</v>
      </c>
      <c r="E35" s="20" t="s">
        <v>431</v>
      </c>
      <c r="F35" s="20" t="s">
        <v>431</v>
      </c>
      <c r="G35" s="43" t="s">
        <v>433</v>
      </c>
    </row>
    <row r="36" spans="1:7" x14ac:dyDescent="0.2">
      <c r="A36" s="42" t="s">
        <v>175</v>
      </c>
      <c r="B36" s="20">
        <v>40931</v>
      </c>
      <c r="C36" s="20" t="s">
        <v>431</v>
      </c>
      <c r="D36" s="20" t="s">
        <v>431</v>
      </c>
      <c r="E36" s="20" t="s">
        <v>431</v>
      </c>
      <c r="F36" s="20" t="s">
        <v>431</v>
      </c>
      <c r="G36" s="43" t="s">
        <v>433</v>
      </c>
    </row>
    <row r="37" spans="1:7" x14ac:dyDescent="0.2">
      <c r="A37" s="42" t="s">
        <v>176</v>
      </c>
      <c r="B37" s="20">
        <v>4549</v>
      </c>
      <c r="C37" s="20" t="s">
        <v>431</v>
      </c>
      <c r="D37" s="20" t="s">
        <v>431</v>
      </c>
      <c r="E37" s="20" t="s">
        <v>431</v>
      </c>
      <c r="F37" s="20" t="s">
        <v>431</v>
      </c>
      <c r="G37" s="43" t="s">
        <v>433</v>
      </c>
    </row>
    <row r="38" spans="1:7" x14ac:dyDescent="0.2">
      <c r="A38" s="42" t="s">
        <v>177</v>
      </c>
      <c r="B38" s="20">
        <v>137961</v>
      </c>
      <c r="C38" s="20" t="s">
        <v>431</v>
      </c>
      <c r="D38" s="20" t="s">
        <v>431</v>
      </c>
      <c r="E38" s="20" t="s">
        <v>431</v>
      </c>
      <c r="F38" s="20" t="s">
        <v>431</v>
      </c>
      <c r="G38" s="43" t="s">
        <v>433</v>
      </c>
    </row>
    <row r="39" spans="1:7" x14ac:dyDescent="0.2">
      <c r="A39" s="42" t="s">
        <v>178</v>
      </c>
      <c r="B39" s="20">
        <v>39662</v>
      </c>
      <c r="C39" s="20" t="s">
        <v>431</v>
      </c>
      <c r="D39" s="20" t="s">
        <v>431</v>
      </c>
      <c r="E39" s="20" t="s">
        <v>431</v>
      </c>
      <c r="F39" s="20" t="s">
        <v>431</v>
      </c>
      <c r="G39" s="43" t="s">
        <v>433</v>
      </c>
    </row>
    <row r="40" spans="1:7" x14ac:dyDescent="0.2">
      <c r="A40" s="42" t="s">
        <v>179</v>
      </c>
      <c r="B40" s="20">
        <v>782</v>
      </c>
      <c r="C40" s="20" t="s">
        <v>431</v>
      </c>
      <c r="D40" s="20" t="s">
        <v>431</v>
      </c>
      <c r="E40" s="20" t="s">
        <v>431</v>
      </c>
      <c r="F40" s="20" t="s">
        <v>431</v>
      </c>
      <c r="G40" s="43" t="s">
        <v>433</v>
      </c>
    </row>
    <row r="41" spans="1:7" x14ac:dyDescent="0.2">
      <c r="A41" s="42" t="s">
        <v>180</v>
      </c>
      <c r="B41" s="20">
        <v>24475</v>
      </c>
      <c r="C41" s="20" t="s">
        <v>431</v>
      </c>
      <c r="D41" s="20" t="s">
        <v>431</v>
      </c>
      <c r="E41" s="20" t="s">
        <v>431</v>
      </c>
      <c r="F41" s="20" t="s">
        <v>431</v>
      </c>
      <c r="G41" s="43" t="s">
        <v>433</v>
      </c>
    </row>
    <row r="42" spans="1:7" x14ac:dyDescent="0.2">
      <c r="A42" s="42" t="s">
        <v>181</v>
      </c>
      <c r="B42" s="20">
        <v>8585</v>
      </c>
      <c r="C42" s="20" t="s">
        <v>431</v>
      </c>
      <c r="D42" s="20" t="s">
        <v>431</v>
      </c>
      <c r="E42" s="20" t="s">
        <v>431</v>
      </c>
      <c r="F42" s="20" t="s">
        <v>431</v>
      </c>
      <c r="G42" s="43" t="s">
        <v>433</v>
      </c>
    </row>
    <row r="43" spans="1:7" x14ac:dyDescent="0.2">
      <c r="A43" s="42" t="s">
        <v>182</v>
      </c>
      <c r="B43" s="20">
        <v>6535</v>
      </c>
      <c r="C43" s="20" t="s">
        <v>431</v>
      </c>
      <c r="D43" s="20" t="s">
        <v>431</v>
      </c>
      <c r="E43" s="20" t="s">
        <v>431</v>
      </c>
      <c r="F43" s="20" t="s">
        <v>431</v>
      </c>
      <c r="G43" s="43" t="s">
        <v>433</v>
      </c>
    </row>
    <row r="44" spans="1:7" x14ac:dyDescent="0.2">
      <c r="A44" s="42" t="s">
        <v>183</v>
      </c>
      <c r="B44" s="20">
        <v>38137</v>
      </c>
      <c r="C44" s="20" t="s">
        <v>431</v>
      </c>
      <c r="D44" s="20" t="s">
        <v>431</v>
      </c>
      <c r="E44" s="20" t="s">
        <v>431</v>
      </c>
      <c r="F44" s="20" t="s">
        <v>431</v>
      </c>
      <c r="G44" s="43" t="s">
        <v>433</v>
      </c>
    </row>
    <row r="45" spans="1:7" x14ac:dyDescent="0.2">
      <c r="A45" s="42" t="s">
        <v>184</v>
      </c>
      <c r="B45" s="20">
        <v>5562</v>
      </c>
      <c r="C45" s="20" t="s">
        <v>431</v>
      </c>
      <c r="D45" s="20" t="s">
        <v>431</v>
      </c>
      <c r="E45" s="20" t="s">
        <v>431</v>
      </c>
      <c r="F45" s="20" t="s">
        <v>431</v>
      </c>
      <c r="G45" s="43" t="s">
        <v>433</v>
      </c>
    </row>
    <row r="46" spans="1:7" x14ac:dyDescent="0.2">
      <c r="A46" s="42" t="s">
        <v>185</v>
      </c>
      <c r="B46" s="20">
        <v>32507</v>
      </c>
      <c r="C46" s="20" t="s">
        <v>431</v>
      </c>
      <c r="D46" s="20" t="s">
        <v>431</v>
      </c>
      <c r="E46" s="20" t="s">
        <v>431</v>
      </c>
      <c r="F46" s="20" t="s">
        <v>431</v>
      </c>
      <c r="G46" s="43" t="s">
        <v>433</v>
      </c>
    </row>
    <row r="47" spans="1:7" x14ac:dyDescent="0.2">
      <c r="A47" s="42" t="s">
        <v>186</v>
      </c>
      <c r="B47" s="20">
        <v>929</v>
      </c>
      <c r="C47" s="20" t="s">
        <v>431</v>
      </c>
      <c r="D47" s="20" t="s">
        <v>431</v>
      </c>
      <c r="E47" s="20" t="s">
        <v>431</v>
      </c>
      <c r="F47" s="20" t="s">
        <v>431</v>
      </c>
      <c r="G47" s="43" t="s">
        <v>433</v>
      </c>
    </row>
    <row r="48" spans="1:7" x14ac:dyDescent="0.2">
      <c r="A48" s="42" t="s">
        <v>187</v>
      </c>
      <c r="B48" s="20">
        <v>26534</v>
      </c>
      <c r="C48" s="20" t="s">
        <v>431</v>
      </c>
      <c r="D48" s="20" t="s">
        <v>431</v>
      </c>
      <c r="E48" s="20" t="s">
        <v>431</v>
      </c>
      <c r="F48" s="20" t="s">
        <v>431</v>
      </c>
      <c r="G48" s="43" t="s">
        <v>433</v>
      </c>
    </row>
    <row r="49" spans="1:7" x14ac:dyDescent="0.2">
      <c r="A49" s="42" t="s">
        <v>188</v>
      </c>
      <c r="B49" s="20">
        <v>119464</v>
      </c>
      <c r="C49" s="20" t="s">
        <v>431</v>
      </c>
      <c r="D49" s="20" t="s">
        <v>431</v>
      </c>
      <c r="E49" s="20" t="s">
        <v>431</v>
      </c>
      <c r="F49" s="20" t="s">
        <v>431</v>
      </c>
      <c r="G49" s="43" t="s">
        <v>433</v>
      </c>
    </row>
    <row r="50" spans="1:7" x14ac:dyDescent="0.2">
      <c r="A50" s="42" t="s">
        <v>189</v>
      </c>
      <c r="B50" s="20">
        <v>5453</v>
      </c>
      <c r="C50" s="20" t="s">
        <v>431</v>
      </c>
      <c r="D50" s="20" t="s">
        <v>431</v>
      </c>
      <c r="E50" s="20" t="s">
        <v>431</v>
      </c>
      <c r="F50" s="20" t="s">
        <v>431</v>
      </c>
      <c r="G50" s="43" t="s">
        <v>433</v>
      </c>
    </row>
    <row r="51" spans="1:7" x14ac:dyDescent="0.2">
      <c r="A51" s="42" t="s">
        <v>190</v>
      </c>
      <c r="B51" s="20">
        <v>1020</v>
      </c>
      <c r="C51" s="20" t="s">
        <v>431</v>
      </c>
      <c r="D51" s="20" t="s">
        <v>431</v>
      </c>
      <c r="E51" s="20" t="s">
        <v>431</v>
      </c>
      <c r="F51" s="20" t="s">
        <v>431</v>
      </c>
      <c r="G51" s="43" t="s">
        <v>433</v>
      </c>
    </row>
    <row r="52" spans="1:7" x14ac:dyDescent="0.2">
      <c r="A52" s="42" t="s">
        <v>191</v>
      </c>
      <c r="B52" s="20">
        <v>25463</v>
      </c>
      <c r="C52" s="20" t="s">
        <v>431</v>
      </c>
      <c r="D52" s="20" t="s">
        <v>431</v>
      </c>
      <c r="E52" s="20" t="s">
        <v>431</v>
      </c>
      <c r="F52" s="20" t="s">
        <v>431</v>
      </c>
      <c r="G52" s="43" t="s">
        <v>433</v>
      </c>
    </row>
    <row r="53" spans="1:7" x14ac:dyDescent="0.2">
      <c r="A53" s="42" t="s">
        <v>192</v>
      </c>
      <c r="B53" s="20">
        <v>20238</v>
      </c>
      <c r="C53" s="20" t="s">
        <v>431</v>
      </c>
      <c r="D53" s="20" t="s">
        <v>431</v>
      </c>
      <c r="E53" s="20" t="s">
        <v>431</v>
      </c>
      <c r="F53" s="20" t="s">
        <v>431</v>
      </c>
      <c r="G53" s="43" t="s">
        <v>433</v>
      </c>
    </row>
    <row r="54" spans="1:7" x14ac:dyDescent="0.2">
      <c r="A54" s="42" t="s">
        <v>193</v>
      </c>
      <c r="B54" s="20">
        <v>3963</v>
      </c>
      <c r="C54" s="20" t="s">
        <v>431</v>
      </c>
      <c r="D54" s="20" t="s">
        <v>431</v>
      </c>
      <c r="E54" s="20" t="s">
        <v>431</v>
      </c>
      <c r="F54" s="20" t="s">
        <v>431</v>
      </c>
      <c r="G54" s="43" t="s">
        <v>433</v>
      </c>
    </row>
    <row r="55" spans="1:7" x14ac:dyDescent="0.2">
      <c r="A55" s="42" t="s">
        <v>194</v>
      </c>
      <c r="B55" s="20">
        <v>9593</v>
      </c>
      <c r="C55" s="20" t="s">
        <v>431</v>
      </c>
      <c r="D55" s="20" t="s">
        <v>431</v>
      </c>
      <c r="E55" s="20" t="s">
        <v>431</v>
      </c>
      <c r="F55" s="20" t="s">
        <v>431</v>
      </c>
      <c r="G55" s="43" t="s">
        <v>433</v>
      </c>
    </row>
    <row r="56" spans="1:7" x14ac:dyDescent="0.2">
      <c r="A56" s="42" t="s">
        <v>195</v>
      </c>
      <c r="B56" s="20">
        <v>742</v>
      </c>
      <c r="C56" s="20" t="s">
        <v>431</v>
      </c>
      <c r="D56" s="20" t="s">
        <v>431</v>
      </c>
      <c r="E56" s="20" t="s">
        <v>431</v>
      </c>
      <c r="F56" s="20" t="s">
        <v>431</v>
      </c>
      <c r="G56" s="43" t="s">
        <v>433</v>
      </c>
    </row>
    <row r="57" spans="1:7" x14ac:dyDescent="0.2">
      <c r="A57" s="42" t="s">
        <v>196</v>
      </c>
      <c r="B57" s="20">
        <v>43</v>
      </c>
      <c r="C57" s="20" t="s">
        <v>431</v>
      </c>
      <c r="D57" s="20" t="s">
        <v>431</v>
      </c>
      <c r="E57" s="20" t="s">
        <v>431</v>
      </c>
      <c r="F57" s="20" t="s">
        <v>431</v>
      </c>
      <c r="G57" s="43" t="s">
        <v>433</v>
      </c>
    </row>
    <row r="58" spans="1:7" x14ac:dyDescent="0.2">
      <c r="A58" s="42" t="s">
        <v>197</v>
      </c>
      <c r="B58" s="20">
        <v>281</v>
      </c>
      <c r="C58" s="20" t="s">
        <v>431</v>
      </c>
      <c r="D58" s="20" t="s">
        <v>431</v>
      </c>
      <c r="E58" s="20" t="s">
        <v>431</v>
      </c>
      <c r="F58" s="20" t="s">
        <v>431</v>
      </c>
      <c r="G58" s="43" t="s">
        <v>433</v>
      </c>
    </row>
    <row r="59" spans="1:7" x14ac:dyDescent="0.2">
      <c r="A59" s="42" t="s">
        <v>198</v>
      </c>
      <c r="B59" s="20">
        <v>65</v>
      </c>
      <c r="C59" s="20" t="s">
        <v>431</v>
      </c>
      <c r="D59" s="20" t="s">
        <v>431</v>
      </c>
      <c r="E59" s="20" t="s">
        <v>431</v>
      </c>
      <c r="F59" s="20" t="s">
        <v>431</v>
      </c>
      <c r="G59" s="43" t="s">
        <v>433</v>
      </c>
    </row>
    <row r="60" spans="1:7" x14ac:dyDescent="0.2">
      <c r="A60" s="42" t="s">
        <v>199</v>
      </c>
      <c r="B60" s="20">
        <v>23380</v>
      </c>
      <c r="C60" s="20" t="s">
        <v>431</v>
      </c>
      <c r="D60" s="20" t="s">
        <v>431</v>
      </c>
      <c r="E60" s="20" t="s">
        <v>431</v>
      </c>
      <c r="F60" s="20" t="s">
        <v>431</v>
      </c>
      <c r="G60" s="43" t="s">
        <v>433</v>
      </c>
    </row>
    <row r="61" spans="1:7" x14ac:dyDescent="0.2">
      <c r="A61" s="42" t="s">
        <v>200</v>
      </c>
      <c r="B61" s="20">
        <v>50</v>
      </c>
      <c r="C61" s="20" t="s">
        <v>431</v>
      </c>
      <c r="D61" s="20" t="s">
        <v>431</v>
      </c>
      <c r="E61" s="20" t="s">
        <v>431</v>
      </c>
      <c r="F61" s="20" t="s">
        <v>431</v>
      </c>
      <c r="G61" s="43" t="s">
        <v>433</v>
      </c>
    </row>
    <row r="62" spans="1:7" x14ac:dyDescent="0.2">
      <c r="A62" s="42" t="s">
        <v>201</v>
      </c>
      <c r="B62" s="20">
        <v>977</v>
      </c>
      <c r="C62" s="20" t="s">
        <v>431</v>
      </c>
      <c r="D62" s="20" t="s">
        <v>431</v>
      </c>
      <c r="E62" s="20" t="s">
        <v>431</v>
      </c>
      <c r="F62" s="20" t="s">
        <v>431</v>
      </c>
      <c r="G62" s="43" t="s">
        <v>433</v>
      </c>
    </row>
    <row r="63" spans="1:7" x14ac:dyDescent="0.2">
      <c r="A63" s="42" t="s">
        <v>202</v>
      </c>
      <c r="B63" s="20">
        <v>0</v>
      </c>
      <c r="C63" s="20" t="s">
        <v>431</v>
      </c>
      <c r="D63" s="20" t="s">
        <v>431</v>
      </c>
      <c r="E63" s="20" t="s">
        <v>431</v>
      </c>
      <c r="F63" s="20" t="s">
        <v>431</v>
      </c>
      <c r="G63" s="43" t="s">
        <v>433</v>
      </c>
    </row>
    <row r="64" spans="1:7" x14ac:dyDescent="0.2">
      <c r="A64" s="42" t="s">
        <v>203</v>
      </c>
      <c r="B64" s="20">
        <v>0</v>
      </c>
      <c r="C64" s="20" t="s">
        <v>432</v>
      </c>
      <c r="D64" s="20" t="s">
        <v>434</v>
      </c>
      <c r="E64" s="20">
        <v>0</v>
      </c>
      <c r="F64" s="20" t="s">
        <v>434</v>
      </c>
      <c r="G64" s="43" t="s">
        <v>435</v>
      </c>
    </row>
    <row r="65" spans="1:7" ht="15" customHeight="1" x14ac:dyDescent="0.2">
      <c r="A65" s="44" t="s">
        <v>204</v>
      </c>
      <c r="B65" s="45">
        <v>1283173</v>
      </c>
      <c r="C65" s="45">
        <v>0</v>
      </c>
      <c r="D65" s="45">
        <v>1315005</v>
      </c>
      <c r="E65" s="45">
        <v>0</v>
      </c>
      <c r="F65" s="45">
        <v>1315005</v>
      </c>
      <c r="G65" s="51">
        <v>1345005</v>
      </c>
    </row>
    <row r="66" spans="1:7" ht="15" customHeight="1" x14ac:dyDescent="0.2">
      <c r="A66" s="101" t="s">
        <v>205</v>
      </c>
      <c r="B66" s="101"/>
      <c r="C66" s="101"/>
      <c r="D66" s="101"/>
      <c r="E66" s="101"/>
      <c r="F66" s="101"/>
      <c r="G66" s="101"/>
    </row>
    <row r="67" spans="1:7" ht="15" customHeight="1" x14ac:dyDescent="0.2">
      <c r="A67" s="103" t="s">
        <v>229</v>
      </c>
      <c r="B67" s="103"/>
      <c r="C67" s="103"/>
      <c r="D67" s="103"/>
      <c r="E67" s="103"/>
      <c r="F67" s="103"/>
      <c r="G67" s="103"/>
    </row>
    <row r="68" spans="1:7" ht="15" customHeight="1" x14ac:dyDescent="0.2">
      <c r="A68" s="103" t="s">
        <v>230</v>
      </c>
      <c r="B68" s="103"/>
      <c r="C68" s="103"/>
      <c r="D68" s="103"/>
      <c r="E68" s="103"/>
      <c r="F68" s="103"/>
      <c r="G68" s="103"/>
    </row>
  </sheetData>
  <mergeCells count="7">
    <mergeCell ref="A68:G68"/>
    <mergeCell ref="A4:A5"/>
    <mergeCell ref="B4:B5"/>
    <mergeCell ref="F4:F5"/>
    <mergeCell ref="G4:G5"/>
    <mergeCell ref="A66:G66"/>
    <mergeCell ref="A67:G6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66"/>
  <sheetViews>
    <sheetView workbookViewId="0">
      <selection sqref="A1:G1"/>
    </sheetView>
  </sheetViews>
  <sheetFormatPr defaultRowHeight="12.75" x14ac:dyDescent="0.2"/>
  <cols>
    <col min="1" max="1" width="76.140625" style="22" customWidth="1"/>
    <col min="2" max="7" width="11.7109375" style="22" customWidth="1"/>
    <col min="8" max="16384" width="9.140625" style="22"/>
  </cols>
  <sheetData>
    <row r="1" spans="1:7" x14ac:dyDescent="0.2">
      <c r="A1" s="74" t="s">
        <v>296</v>
      </c>
      <c r="B1" s="74"/>
      <c r="C1" s="74"/>
      <c r="D1" s="74"/>
      <c r="E1" s="74"/>
      <c r="F1" s="74"/>
      <c r="G1" s="74"/>
    </row>
    <row r="2" spans="1:7" x14ac:dyDescent="0.2">
      <c r="A2" s="75" t="s">
        <v>295</v>
      </c>
      <c r="B2" s="75"/>
      <c r="C2" s="75"/>
      <c r="D2" s="75"/>
      <c r="E2" s="75"/>
      <c r="F2" s="75"/>
      <c r="G2" s="75"/>
    </row>
    <row r="3" spans="1:7" x14ac:dyDescent="0.2">
      <c r="A3" s="76" t="s">
        <v>294</v>
      </c>
      <c r="B3" s="78" t="s">
        <v>672</v>
      </c>
      <c r="C3" s="80" t="s">
        <v>139</v>
      </c>
      <c r="D3" s="81"/>
      <c r="E3" s="82"/>
      <c r="F3" s="78" t="s">
        <v>673</v>
      </c>
      <c r="G3" s="83" t="s">
        <v>667</v>
      </c>
    </row>
    <row r="4" spans="1:7" ht="25.5" customHeight="1" x14ac:dyDescent="0.2">
      <c r="A4" s="77"/>
      <c r="B4" s="79"/>
      <c r="C4" s="28" t="s">
        <v>670</v>
      </c>
      <c r="D4" s="28" t="s">
        <v>669</v>
      </c>
      <c r="E4" s="28" t="s">
        <v>293</v>
      </c>
      <c r="F4" s="79"/>
      <c r="G4" s="84"/>
    </row>
    <row r="5" spans="1:7" x14ac:dyDescent="0.2">
      <c r="A5" s="27" t="s">
        <v>292</v>
      </c>
    </row>
    <row r="6" spans="1:7" x14ac:dyDescent="0.2">
      <c r="A6" s="26" t="s">
        <v>291</v>
      </c>
      <c r="B6" s="22">
        <v>3356</v>
      </c>
      <c r="C6" s="22">
        <v>0</v>
      </c>
      <c r="D6" s="22">
        <v>4151</v>
      </c>
      <c r="E6" s="22">
        <v>0</v>
      </c>
      <c r="F6" s="22">
        <v>4151</v>
      </c>
      <c r="G6" s="22">
        <v>6370.3410000000003</v>
      </c>
    </row>
    <row r="7" spans="1:7" x14ac:dyDescent="0.2">
      <c r="A7" s="26" t="s">
        <v>290</v>
      </c>
      <c r="B7" s="22">
        <v>8431</v>
      </c>
      <c r="C7" s="22">
        <v>6756.9250000000002</v>
      </c>
      <c r="D7" s="22">
        <v>4771.3270000000002</v>
      </c>
      <c r="E7" s="22">
        <v>0</v>
      </c>
      <c r="F7" s="22">
        <v>11528.252</v>
      </c>
      <c r="G7" s="22">
        <v>23384.452000000001</v>
      </c>
    </row>
    <row r="8" spans="1:7" x14ac:dyDescent="0.2">
      <c r="A8" s="26" t="s">
        <v>289</v>
      </c>
      <c r="B8" s="22">
        <v>5958.8779999999997</v>
      </c>
      <c r="C8" s="22">
        <v>1874.9369999999999</v>
      </c>
      <c r="D8" s="22">
        <v>4247.0630000000001</v>
      </c>
      <c r="E8" s="22">
        <v>490</v>
      </c>
      <c r="F8" s="22">
        <v>6612</v>
      </c>
      <c r="G8" s="22">
        <v>6871</v>
      </c>
    </row>
    <row r="9" spans="1:7" x14ac:dyDescent="0.2">
      <c r="A9" s="26" t="s">
        <v>288</v>
      </c>
      <c r="B9" s="22">
        <v>2764</v>
      </c>
      <c r="C9" s="22">
        <v>0</v>
      </c>
      <c r="D9" s="22">
        <v>3419</v>
      </c>
      <c r="E9" s="22">
        <v>70</v>
      </c>
      <c r="F9" s="22">
        <v>3489</v>
      </c>
      <c r="G9" s="22">
        <v>4460.8680000000004</v>
      </c>
    </row>
    <row r="10" spans="1:7" x14ac:dyDescent="0.2">
      <c r="A10" s="26" t="s">
        <v>287</v>
      </c>
      <c r="B10" s="22">
        <v>5484.7250000000004</v>
      </c>
      <c r="C10" s="22">
        <v>29.298999999999999</v>
      </c>
      <c r="D10" s="22">
        <v>6749.9059999999999</v>
      </c>
      <c r="E10" s="22">
        <v>1135</v>
      </c>
      <c r="F10" s="22">
        <v>7914.2049999999999</v>
      </c>
      <c r="G10" s="22">
        <v>7924.1450000000004</v>
      </c>
    </row>
    <row r="11" spans="1:7" x14ac:dyDescent="0.2">
      <c r="A11" s="27" t="s">
        <v>208</v>
      </c>
    </row>
    <row r="12" spans="1:7" x14ac:dyDescent="0.2">
      <c r="A12" s="26" t="s">
        <v>301</v>
      </c>
      <c r="B12" s="22">
        <v>3266.9389999999999</v>
      </c>
      <c r="C12" s="22">
        <v>130.11000000000001</v>
      </c>
      <c r="D12" s="22">
        <v>3465.5450000000001</v>
      </c>
      <c r="E12" s="22">
        <v>0</v>
      </c>
      <c r="F12" s="22">
        <v>3465.5450000000001</v>
      </c>
      <c r="G12" s="22">
        <v>3507.134</v>
      </c>
    </row>
    <row r="13" spans="1:7" x14ac:dyDescent="0.2">
      <c r="A13" s="26" t="s">
        <v>302</v>
      </c>
      <c r="B13" s="22">
        <v>12774.391</v>
      </c>
      <c r="C13" s="22">
        <v>0</v>
      </c>
      <c r="D13" s="22">
        <v>12952.457</v>
      </c>
      <c r="E13" s="22">
        <v>2590.0010000000002</v>
      </c>
      <c r="F13" s="22">
        <v>15542.459000000001</v>
      </c>
      <c r="G13" s="22">
        <v>15557.429</v>
      </c>
    </row>
    <row r="14" spans="1:7" x14ac:dyDescent="0.2">
      <c r="A14" s="27" t="s">
        <v>209</v>
      </c>
    </row>
    <row r="15" spans="1:7" x14ac:dyDescent="0.2">
      <c r="A15" s="26" t="s">
        <v>286</v>
      </c>
      <c r="B15" s="22">
        <v>16309.802</v>
      </c>
      <c r="C15" s="22">
        <v>0</v>
      </c>
      <c r="D15" s="22">
        <v>16536.802</v>
      </c>
      <c r="E15" s="22">
        <v>0</v>
      </c>
      <c r="F15" s="22">
        <v>16536.802</v>
      </c>
      <c r="G15" s="22">
        <v>16536.802</v>
      </c>
    </row>
    <row r="16" spans="1:7" x14ac:dyDescent="0.2">
      <c r="A16" s="26" t="s">
        <v>285</v>
      </c>
      <c r="B16" s="22">
        <v>2131.8359999999998</v>
      </c>
      <c r="C16" s="22">
        <v>0</v>
      </c>
      <c r="D16" s="22">
        <v>2143.078</v>
      </c>
      <c r="E16" s="22">
        <v>0</v>
      </c>
      <c r="F16" s="22">
        <v>2143.078</v>
      </c>
      <c r="G16" s="22">
        <v>2148.578</v>
      </c>
    </row>
    <row r="17" spans="1:7" x14ac:dyDescent="0.2">
      <c r="A17" s="26" t="s">
        <v>303</v>
      </c>
      <c r="B17" s="22">
        <v>13229.263000000001</v>
      </c>
      <c r="C17" s="22">
        <v>0</v>
      </c>
      <c r="D17" s="22">
        <v>54311.002</v>
      </c>
      <c r="E17" s="22">
        <v>121974.8</v>
      </c>
      <c r="F17" s="22">
        <v>176285.802</v>
      </c>
      <c r="G17" s="22">
        <v>0</v>
      </c>
    </row>
    <row r="18" spans="1:7" x14ac:dyDescent="0.2">
      <c r="A18" s="26" t="s">
        <v>304</v>
      </c>
      <c r="B18" s="22">
        <v>2953.23</v>
      </c>
      <c r="C18" s="22">
        <v>0</v>
      </c>
      <c r="D18" s="22">
        <v>1303.06</v>
      </c>
      <c r="E18" s="22">
        <v>0</v>
      </c>
      <c r="F18" s="22">
        <v>1303.06</v>
      </c>
      <c r="G18" s="22">
        <v>0</v>
      </c>
    </row>
    <row r="19" spans="1:7" x14ac:dyDescent="0.2">
      <c r="A19" s="26" t="s">
        <v>305</v>
      </c>
      <c r="B19" s="22">
        <v>0</v>
      </c>
      <c r="C19" s="22">
        <v>0</v>
      </c>
      <c r="D19" s="22">
        <v>2749.9969999999998</v>
      </c>
      <c r="E19" s="22">
        <v>2749.998</v>
      </c>
      <c r="F19" s="22">
        <v>5499.9949999999999</v>
      </c>
      <c r="G19" s="22">
        <v>0</v>
      </c>
    </row>
    <row r="20" spans="1:7" x14ac:dyDescent="0.2">
      <c r="A20" s="27" t="s">
        <v>213</v>
      </c>
    </row>
    <row r="21" spans="1:7" x14ac:dyDescent="0.2">
      <c r="A21" s="26" t="s">
        <v>284</v>
      </c>
      <c r="B21" s="22">
        <v>18548.886999999999</v>
      </c>
      <c r="C21" s="22">
        <v>0</v>
      </c>
      <c r="D21" s="22">
        <v>17626.334999999999</v>
      </c>
      <c r="E21" s="22">
        <v>460</v>
      </c>
      <c r="F21" s="22">
        <v>16067.001</v>
      </c>
      <c r="G21" s="22">
        <v>16289</v>
      </c>
    </row>
    <row r="22" spans="1:7" x14ac:dyDescent="0.2">
      <c r="A22" s="26" t="s">
        <v>283</v>
      </c>
      <c r="B22" s="22">
        <v>519006.81099999999</v>
      </c>
      <c r="C22" s="22">
        <v>0</v>
      </c>
      <c r="D22" s="22">
        <v>557286.75899999996</v>
      </c>
      <c r="E22" s="22">
        <v>9959.1039999999994</v>
      </c>
      <c r="F22" s="22">
        <v>567245.86300000001</v>
      </c>
      <c r="G22" s="22">
        <v>616644.54</v>
      </c>
    </row>
    <row r="23" spans="1:7" x14ac:dyDescent="0.2">
      <c r="A23" s="27" t="s">
        <v>218</v>
      </c>
    </row>
    <row r="24" spans="1:7" x14ac:dyDescent="0.2">
      <c r="A24" s="26" t="s">
        <v>282</v>
      </c>
      <c r="B24" s="22">
        <v>16510.992999999999</v>
      </c>
      <c r="C24" s="22">
        <v>16511.871999999999</v>
      </c>
      <c r="D24" s="22">
        <v>0</v>
      </c>
      <c r="E24" s="22">
        <v>1000</v>
      </c>
      <c r="F24" s="22">
        <v>17511.871999999999</v>
      </c>
      <c r="G24" s="22">
        <v>16511.871999999999</v>
      </c>
    </row>
    <row r="25" spans="1:7" x14ac:dyDescent="0.2">
      <c r="A25" s="26" t="s">
        <v>281</v>
      </c>
      <c r="B25" s="22">
        <v>4948.5429999999997</v>
      </c>
      <c r="C25" s="22">
        <v>4497.5290000000005</v>
      </c>
      <c r="D25" s="22">
        <v>0</v>
      </c>
      <c r="E25" s="22">
        <v>0</v>
      </c>
      <c r="F25" s="22">
        <v>4497.5290000000005</v>
      </c>
      <c r="G25" s="22">
        <v>4341.5550000000003</v>
      </c>
    </row>
    <row r="26" spans="1:7" x14ac:dyDescent="0.2">
      <c r="A26" s="26" t="s">
        <v>280</v>
      </c>
      <c r="B26" s="22">
        <v>3741.2510000000002</v>
      </c>
      <c r="C26" s="22">
        <v>3750.3040000000001</v>
      </c>
      <c r="D26" s="22">
        <v>0</v>
      </c>
      <c r="E26" s="22">
        <v>4499.9989999999998</v>
      </c>
      <c r="F26" s="22">
        <v>8250.3029999999999</v>
      </c>
      <c r="G26" s="22">
        <v>3850.3040000000001</v>
      </c>
    </row>
    <row r="27" spans="1:7" x14ac:dyDescent="0.2">
      <c r="A27" s="26" t="s">
        <v>279</v>
      </c>
      <c r="B27" s="22">
        <v>5825.12</v>
      </c>
      <c r="C27" s="22">
        <v>5911</v>
      </c>
      <c r="D27" s="22">
        <v>9970.0010000000002</v>
      </c>
      <c r="E27" s="22">
        <v>38935.830999999998</v>
      </c>
      <c r="F27" s="22">
        <v>54816.832000000002</v>
      </c>
      <c r="G27" s="22">
        <v>7377</v>
      </c>
    </row>
    <row r="28" spans="1:7" x14ac:dyDescent="0.2">
      <c r="A28" s="26" t="s">
        <v>278</v>
      </c>
      <c r="B28" s="22">
        <v>1264.6880000000001</v>
      </c>
      <c r="C28" s="22">
        <v>1385.7850000000001</v>
      </c>
      <c r="D28" s="22">
        <v>0</v>
      </c>
      <c r="E28" s="22">
        <v>0</v>
      </c>
      <c r="F28" s="22">
        <v>1385.7850000000001</v>
      </c>
      <c r="G28" s="22">
        <v>1386.2750000000001</v>
      </c>
    </row>
    <row r="29" spans="1:7" x14ac:dyDescent="0.2">
      <c r="A29" s="26" t="s">
        <v>277</v>
      </c>
      <c r="B29" s="22">
        <v>1698.075</v>
      </c>
      <c r="C29" s="22">
        <v>2164.2150000000001</v>
      </c>
      <c r="D29" s="22">
        <v>0</v>
      </c>
      <c r="E29" s="22">
        <v>0</v>
      </c>
      <c r="F29" s="22">
        <v>2164.2150000000001</v>
      </c>
      <c r="G29" s="22">
        <v>2163.7249999999999</v>
      </c>
    </row>
    <row r="30" spans="1:7" x14ac:dyDescent="0.2">
      <c r="A30" s="26" t="s">
        <v>276</v>
      </c>
      <c r="B30" s="22">
        <v>10570.705</v>
      </c>
      <c r="C30" s="22">
        <v>10848.094999999999</v>
      </c>
      <c r="D30" s="22">
        <v>0</v>
      </c>
      <c r="E30" s="22">
        <v>0</v>
      </c>
      <c r="F30" s="22">
        <v>10848.094999999999</v>
      </c>
      <c r="G30" s="22">
        <v>11932.094999999999</v>
      </c>
    </row>
    <row r="31" spans="1:7" x14ac:dyDescent="0.2">
      <c r="A31" s="26" t="s">
        <v>275</v>
      </c>
      <c r="B31" s="22">
        <v>5355</v>
      </c>
      <c r="C31" s="22">
        <v>5797.6229999999996</v>
      </c>
      <c r="D31" s="22">
        <v>0</v>
      </c>
      <c r="E31" s="22">
        <v>0</v>
      </c>
      <c r="F31" s="22">
        <v>5797.6229999999996</v>
      </c>
      <c r="G31" s="22">
        <v>5831.5789999999997</v>
      </c>
    </row>
    <row r="32" spans="1:7" x14ac:dyDescent="0.2">
      <c r="A32" s="26" t="s">
        <v>274</v>
      </c>
      <c r="B32" s="22">
        <v>3384.4859999999999</v>
      </c>
      <c r="C32" s="22">
        <v>3802.0450000000001</v>
      </c>
      <c r="D32" s="22">
        <v>0</v>
      </c>
      <c r="E32" s="22">
        <v>0</v>
      </c>
      <c r="F32" s="22">
        <v>3802.0450000000001</v>
      </c>
      <c r="G32" s="22">
        <v>3736.1370000000002</v>
      </c>
    </row>
    <row r="33" spans="1:7" x14ac:dyDescent="0.2">
      <c r="A33" s="26" t="s">
        <v>273</v>
      </c>
      <c r="B33" s="22">
        <v>1599.7</v>
      </c>
      <c r="C33" s="22">
        <v>1603.1</v>
      </c>
      <c r="D33" s="22">
        <v>0</v>
      </c>
      <c r="E33" s="22">
        <v>0</v>
      </c>
      <c r="F33" s="22">
        <v>1603.1</v>
      </c>
      <c r="G33" s="22">
        <v>1603.1</v>
      </c>
    </row>
    <row r="34" spans="1:7" x14ac:dyDescent="0.2">
      <c r="A34" s="27" t="s">
        <v>227</v>
      </c>
    </row>
    <row r="35" spans="1:7" x14ac:dyDescent="0.2">
      <c r="A35" s="26" t="s">
        <v>306</v>
      </c>
      <c r="B35" s="22">
        <v>1283.2729999999999</v>
      </c>
      <c r="C35" s="22">
        <v>0</v>
      </c>
      <c r="D35" s="22">
        <v>1315.105</v>
      </c>
      <c r="E35" s="22">
        <v>0</v>
      </c>
      <c r="F35" s="22">
        <v>1315.0050000000001</v>
      </c>
      <c r="G35" s="22">
        <v>1345.0050000000001</v>
      </c>
    </row>
    <row r="36" spans="1:7" ht="25.5" x14ac:dyDescent="0.2">
      <c r="A36" s="27" t="s">
        <v>231</v>
      </c>
    </row>
    <row r="37" spans="1:7" x14ac:dyDescent="0.2">
      <c r="A37" s="26" t="s">
        <v>307</v>
      </c>
      <c r="B37" s="22">
        <v>1419.998</v>
      </c>
      <c r="C37" s="22">
        <v>0</v>
      </c>
      <c r="D37" s="22">
        <v>1419.998</v>
      </c>
      <c r="E37" s="22">
        <v>0</v>
      </c>
      <c r="F37" s="22">
        <v>1419.998</v>
      </c>
      <c r="G37" s="22">
        <v>2130.0030000000002</v>
      </c>
    </row>
    <row r="38" spans="1:7" x14ac:dyDescent="0.2">
      <c r="A38" s="26" t="s">
        <v>308</v>
      </c>
      <c r="B38" s="22">
        <v>1760.45</v>
      </c>
      <c r="C38" s="22">
        <v>0</v>
      </c>
      <c r="D38" s="22">
        <v>1760.69</v>
      </c>
      <c r="E38" s="22">
        <v>1424.998</v>
      </c>
      <c r="F38" s="22">
        <v>3185.6930000000002</v>
      </c>
      <c r="G38" s="22">
        <v>3327.6640000000002</v>
      </c>
    </row>
    <row r="39" spans="1:7" x14ac:dyDescent="0.2">
      <c r="A39" s="27" t="s">
        <v>234</v>
      </c>
    </row>
    <row r="40" spans="1:7" x14ac:dyDescent="0.2">
      <c r="A40" s="26" t="s">
        <v>272</v>
      </c>
      <c r="B40" s="22">
        <v>2931.915</v>
      </c>
      <c r="C40" s="22">
        <v>790.58</v>
      </c>
      <c r="D40" s="22">
        <v>1385.095</v>
      </c>
      <c r="E40" s="22">
        <v>99.998000000000005</v>
      </c>
      <c r="F40" s="22">
        <v>1485.0989999999999</v>
      </c>
      <c r="G40" s="22">
        <v>0</v>
      </c>
    </row>
    <row r="41" spans="1:7" x14ac:dyDescent="0.2">
      <c r="A41" s="27" t="s">
        <v>237</v>
      </c>
    </row>
    <row r="42" spans="1:7" x14ac:dyDescent="0.2">
      <c r="A42" s="26" t="s">
        <v>269</v>
      </c>
      <c r="B42" s="22">
        <v>2670.5320000000002</v>
      </c>
      <c r="C42" s="22">
        <v>1365.232</v>
      </c>
      <c r="D42" s="22">
        <v>1370.201</v>
      </c>
      <c r="E42" s="22">
        <v>0</v>
      </c>
      <c r="F42" s="22">
        <v>2735.431</v>
      </c>
      <c r="G42" s="22">
        <v>3225</v>
      </c>
    </row>
    <row r="43" spans="1:7" x14ac:dyDescent="0.2">
      <c r="A43" s="26" t="s">
        <v>271</v>
      </c>
      <c r="B43" s="22">
        <v>4753896.2019999996</v>
      </c>
      <c r="C43" s="22">
        <v>24021009.728</v>
      </c>
      <c r="D43" s="22">
        <v>0</v>
      </c>
      <c r="E43" s="22">
        <v>0</v>
      </c>
      <c r="F43" s="22">
        <v>24021009.728</v>
      </c>
      <c r="G43" s="22">
        <v>2272072</v>
      </c>
    </row>
    <row r="44" spans="1:7" x14ac:dyDescent="0.2">
      <c r="A44" s="26" t="s">
        <v>270</v>
      </c>
      <c r="B44" s="22">
        <v>1132.7049999999999</v>
      </c>
      <c r="C44" s="22">
        <v>456.483</v>
      </c>
      <c r="D44" s="22">
        <v>1013.175</v>
      </c>
      <c r="E44" s="22">
        <v>0</v>
      </c>
      <c r="F44" s="22">
        <v>1469.6579999999999</v>
      </c>
      <c r="G44" s="22">
        <v>6648.634</v>
      </c>
    </row>
    <row r="45" spans="1:7" x14ac:dyDescent="0.2">
      <c r="A45" s="26" t="s">
        <v>269</v>
      </c>
      <c r="B45" s="22">
        <v>1763.123</v>
      </c>
      <c r="C45" s="22">
        <v>2752.0030000000002</v>
      </c>
      <c r="D45" s="22">
        <v>0</v>
      </c>
      <c r="E45" s="22">
        <v>0</v>
      </c>
      <c r="F45" s="22">
        <v>2752.0030000000002</v>
      </c>
      <c r="G45" s="22">
        <v>484.11500000000001</v>
      </c>
    </row>
    <row r="46" spans="1:7" x14ac:dyDescent="0.2">
      <c r="A46" s="27" t="s">
        <v>242</v>
      </c>
    </row>
    <row r="47" spans="1:7" x14ac:dyDescent="0.2">
      <c r="A47" s="26" t="s">
        <v>268</v>
      </c>
      <c r="B47" s="22">
        <v>25165.732</v>
      </c>
      <c r="C47" s="22">
        <v>874.08799999999997</v>
      </c>
      <c r="D47" s="22">
        <v>25841.171999999999</v>
      </c>
      <c r="E47" s="22">
        <v>1261</v>
      </c>
      <c r="F47" s="22">
        <v>27976.26</v>
      </c>
      <c r="G47" s="22">
        <v>30927</v>
      </c>
    </row>
    <row r="48" spans="1:7" x14ac:dyDescent="0.2">
      <c r="A48" s="26" t="s">
        <v>267</v>
      </c>
      <c r="B48" s="22">
        <v>4758.6350000000002</v>
      </c>
      <c r="C48" s="22">
        <v>469.20299999999997</v>
      </c>
      <c r="D48" s="22">
        <v>0</v>
      </c>
      <c r="E48" s="22">
        <v>0</v>
      </c>
      <c r="F48" s="22">
        <v>469.20299999999997</v>
      </c>
      <c r="G48" s="22">
        <v>0</v>
      </c>
    </row>
    <row r="49" spans="1:7" x14ac:dyDescent="0.2">
      <c r="A49" s="26" t="s">
        <v>266</v>
      </c>
      <c r="B49" s="22">
        <v>2714.0940000000001</v>
      </c>
      <c r="C49" s="22">
        <v>9.4949999999999992</v>
      </c>
      <c r="D49" s="22">
        <v>0</v>
      </c>
      <c r="E49" s="22">
        <v>0</v>
      </c>
      <c r="F49" s="22">
        <v>9.4949999999999992</v>
      </c>
      <c r="G49" s="22">
        <v>0</v>
      </c>
    </row>
    <row r="50" spans="1:7" x14ac:dyDescent="0.2">
      <c r="A50" s="26" t="s">
        <v>310</v>
      </c>
      <c r="B50" s="22">
        <v>0</v>
      </c>
      <c r="C50" s="22">
        <v>0</v>
      </c>
      <c r="D50" s="22">
        <v>7604</v>
      </c>
      <c r="E50" s="22">
        <v>0</v>
      </c>
      <c r="F50" s="22">
        <v>7604</v>
      </c>
      <c r="G50" s="22">
        <v>8086.9960000000001</v>
      </c>
    </row>
    <row r="51" spans="1:7" x14ac:dyDescent="0.2">
      <c r="A51" s="27" t="s">
        <v>247</v>
      </c>
    </row>
    <row r="52" spans="1:7" x14ac:dyDescent="0.2">
      <c r="A52" s="26" t="s">
        <v>265</v>
      </c>
      <c r="B52" s="22">
        <v>3868.73</v>
      </c>
      <c r="C52" s="22">
        <v>618.33000000000004</v>
      </c>
      <c r="D52" s="22">
        <v>6309.0590000000002</v>
      </c>
      <c r="E52" s="22">
        <v>1753.597</v>
      </c>
      <c r="F52" s="22">
        <v>8645.2469999999994</v>
      </c>
      <c r="G52" s="22">
        <v>2875.2150000000001</v>
      </c>
    </row>
    <row r="53" spans="1:7" x14ac:dyDescent="0.2">
      <c r="A53" s="27" t="s">
        <v>249</v>
      </c>
    </row>
    <row r="54" spans="1:7" x14ac:dyDescent="0.2">
      <c r="A54" s="26" t="s">
        <v>311</v>
      </c>
      <c r="B54" s="22">
        <v>13675.723</v>
      </c>
      <c r="C54" s="22">
        <v>341.471</v>
      </c>
      <c r="D54" s="22">
        <v>6141.5370000000003</v>
      </c>
      <c r="E54" s="22">
        <v>1847.9849999999999</v>
      </c>
      <c r="F54" s="22">
        <v>8038.2</v>
      </c>
      <c r="G54" s="22">
        <v>3166.8739999999998</v>
      </c>
    </row>
    <row r="55" spans="1:7" x14ac:dyDescent="0.2">
      <c r="A55" s="27" t="s">
        <v>250</v>
      </c>
    </row>
    <row r="56" spans="1:7" x14ac:dyDescent="0.2">
      <c r="A56" s="26" t="s">
        <v>264</v>
      </c>
      <c r="B56" s="22">
        <v>46540.203999999998</v>
      </c>
      <c r="C56" s="22">
        <v>5437.567</v>
      </c>
      <c r="D56" s="22">
        <v>52879.669000000002</v>
      </c>
      <c r="E56" s="22">
        <v>0</v>
      </c>
      <c r="F56" s="22">
        <v>58317.235999999997</v>
      </c>
      <c r="G56" s="22">
        <v>53911.997000000003</v>
      </c>
    </row>
    <row r="57" spans="1:7" x14ac:dyDescent="0.2">
      <c r="A57" s="27" t="s">
        <v>253</v>
      </c>
    </row>
    <row r="58" spans="1:7" x14ac:dyDescent="0.2">
      <c r="A58" s="26" t="s">
        <v>300</v>
      </c>
      <c r="B58" s="22">
        <v>24007.999</v>
      </c>
      <c r="C58" s="22">
        <v>6889.9250000000002</v>
      </c>
      <c r="D58" s="22">
        <v>7464.0810000000001</v>
      </c>
      <c r="E58" s="22">
        <v>26163.995999999999</v>
      </c>
      <c r="F58" s="22">
        <v>40517.999000000003</v>
      </c>
      <c r="G58" s="22">
        <v>7253.9989999999998</v>
      </c>
    </row>
    <row r="59" spans="1:7" x14ac:dyDescent="0.2">
      <c r="A59" s="26" t="s">
        <v>312</v>
      </c>
      <c r="B59" s="22">
        <v>11853.597</v>
      </c>
      <c r="C59" s="22">
        <v>5747.5190000000002</v>
      </c>
      <c r="D59" s="22">
        <v>6226.4809999999998</v>
      </c>
      <c r="E59" s="22">
        <v>0</v>
      </c>
      <c r="F59" s="22">
        <v>11973.998</v>
      </c>
      <c r="G59" s="22">
        <v>12094.003000000001</v>
      </c>
    </row>
    <row r="60" spans="1:7" x14ac:dyDescent="0.2">
      <c r="A60" s="27" t="s">
        <v>658</v>
      </c>
    </row>
    <row r="61" spans="1:7" x14ac:dyDescent="0.2">
      <c r="A61" s="26" t="s">
        <v>263</v>
      </c>
      <c r="B61" s="22">
        <v>1632.519</v>
      </c>
      <c r="C61" s="22">
        <v>49.161999999999999</v>
      </c>
      <c r="D61" s="22">
        <v>1589.665</v>
      </c>
      <c r="E61" s="22">
        <v>0</v>
      </c>
      <c r="F61" s="22">
        <v>1638.826</v>
      </c>
      <c r="G61" s="22">
        <v>1870.68</v>
      </c>
    </row>
    <row r="62" spans="1:7" x14ac:dyDescent="0.2">
      <c r="A62" s="26" t="s">
        <v>262</v>
      </c>
      <c r="B62" s="22">
        <v>1320.7829999999999</v>
      </c>
      <c r="C62" s="22">
        <v>33.780999999999999</v>
      </c>
      <c r="D62" s="22">
        <v>1092.307</v>
      </c>
      <c r="E62" s="22">
        <v>0</v>
      </c>
      <c r="F62" s="22">
        <v>1126.088</v>
      </c>
      <c r="G62" s="22">
        <v>1357.934</v>
      </c>
    </row>
    <row r="63" spans="1:7" x14ac:dyDescent="0.2">
      <c r="A63" s="27" t="s">
        <v>261</v>
      </c>
    </row>
    <row r="64" spans="1:7" x14ac:dyDescent="0.2">
      <c r="A64" s="26" t="s">
        <v>260</v>
      </c>
      <c r="B64" s="22">
        <v>2344.6280000000002</v>
      </c>
      <c r="C64" s="22">
        <v>0</v>
      </c>
      <c r="D64" s="22">
        <v>2344.6280000000002</v>
      </c>
      <c r="E64" s="22">
        <v>0</v>
      </c>
      <c r="F64" s="22">
        <v>2344.6280000000002</v>
      </c>
      <c r="G64" s="22">
        <v>2344.6280000000002</v>
      </c>
    </row>
    <row r="65" spans="1:7" x14ac:dyDescent="0.2">
      <c r="A65" s="26" t="s">
        <v>259</v>
      </c>
      <c r="B65" s="22">
        <v>0</v>
      </c>
      <c r="C65" s="22">
        <v>0</v>
      </c>
      <c r="D65" s="22">
        <v>0</v>
      </c>
      <c r="E65" s="22">
        <v>7172.0010000000002</v>
      </c>
      <c r="F65" s="22">
        <v>5379</v>
      </c>
      <c r="G65" s="22">
        <v>1792.9960000000001</v>
      </c>
    </row>
    <row r="66" spans="1:7" ht="15" customHeight="1" x14ac:dyDescent="0.2">
      <c r="A66" s="25" t="s">
        <v>204</v>
      </c>
      <c r="B66" s="24">
        <v>5573855.1649999991</v>
      </c>
      <c r="C66" s="24">
        <v>24111907.406000003</v>
      </c>
      <c r="D66" s="24">
        <v>827440.19500000018</v>
      </c>
      <c r="E66" s="24">
        <v>223588.30800000002</v>
      </c>
      <c r="F66" s="24">
        <v>25157874.256000005</v>
      </c>
      <c r="G66" s="23">
        <v>3193342.6739999996</v>
      </c>
    </row>
  </sheetData>
  <mergeCells count="7">
    <mergeCell ref="A1:G1"/>
    <mergeCell ref="A2:G2"/>
    <mergeCell ref="A3:A4"/>
    <mergeCell ref="B3:B4"/>
    <mergeCell ref="C3:E3"/>
    <mergeCell ref="F3:F4"/>
    <mergeCell ref="G3:G4"/>
  </mergeCells>
  <pageMargins left="0.5" right="0.5" top="0.5" bottom="0.5" header="0.3" footer="0.3"/>
  <pageSetup scale="65" fitToHeight="0"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231</v>
      </c>
      <c r="B1" s="16"/>
      <c r="C1" s="16"/>
      <c r="D1" s="16"/>
      <c r="E1" s="16"/>
      <c r="F1" s="16"/>
      <c r="G1" s="15" t="s">
        <v>232</v>
      </c>
    </row>
    <row r="2" spans="1:7" x14ac:dyDescent="0.2">
      <c r="A2" s="17" t="s">
        <v>347</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16086</v>
      </c>
      <c r="C6" s="20">
        <v>0</v>
      </c>
      <c r="D6" s="20">
        <v>16086</v>
      </c>
      <c r="E6" s="20">
        <v>0</v>
      </c>
      <c r="F6" s="20">
        <v>16086</v>
      </c>
      <c r="G6" s="43">
        <v>24129</v>
      </c>
    </row>
    <row r="7" spans="1:7" x14ac:dyDescent="0.2">
      <c r="A7" s="42" t="s">
        <v>146</v>
      </c>
      <c r="B7" s="20">
        <v>4001</v>
      </c>
      <c r="C7" s="20">
        <v>0</v>
      </c>
      <c r="D7" s="20">
        <v>4001</v>
      </c>
      <c r="E7" s="20">
        <v>0</v>
      </c>
      <c r="F7" s="20">
        <v>4001</v>
      </c>
      <c r="G7" s="43">
        <v>6001</v>
      </c>
    </row>
    <row r="8" spans="1:7" x14ac:dyDescent="0.2">
      <c r="A8" s="42" t="s">
        <v>147</v>
      </c>
      <c r="B8" s="20">
        <v>31606</v>
      </c>
      <c r="C8" s="20">
        <v>0</v>
      </c>
      <c r="D8" s="20">
        <v>31606</v>
      </c>
      <c r="E8" s="20">
        <v>0</v>
      </c>
      <c r="F8" s="20">
        <v>31606</v>
      </c>
      <c r="G8" s="43">
        <v>47410</v>
      </c>
    </row>
    <row r="9" spans="1:7" x14ac:dyDescent="0.2">
      <c r="A9" s="42" t="s">
        <v>148</v>
      </c>
      <c r="B9" s="20">
        <v>10761</v>
      </c>
      <c r="C9" s="20">
        <v>0</v>
      </c>
      <c r="D9" s="20">
        <v>10761</v>
      </c>
      <c r="E9" s="20">
        <v>0</v>
      </c>
      <c r="F9" s="20">
        <v>10761</v>
      </c>
      <c r="G9" s="43">
        <v>16142</v>
      </c>
    </row>
    <row r="10" spans="1:7" x14ac:dyDescent="0.2">
      <c r="A10" s="42" t="s">
        <v>149</v>
      </c>
      <c r="B10" s="20">
        <v>105865</v>
      </c>
      <c r="C10" s="20">
        <v>0</v>
      </c>
      <c r="D10" s="20">
        <v>105865</v>
      </c>
      <c r="E10" s="20">
        <v>0</v>
      </c>
      <c r="F10" s="20">
        <v>105865</v>
      </c>
      <c r="G10" s="43">
        <v>158797</v>
      </c>
    </row>
    <row r="11" spans="1:7" x14ac:dyDescent="0.2">
      <c r="A11" s="42" t="s">
        <v>150</v>
      </c>
      <c r="B11" s="20">
        <v>20843</v>
      </c>
      <c r="C11" s="20">
        <v>0</v>
      </c>
      <c r="D11" s="20">
        <v>20843</v>
      </c>
      <c r="E11" s="20">
        <v>0</v>
      </c>
      <c r="F11" s="20">
        <v>20843</v>
      </c>
      <c r="G11" s="43">
        <v>31264</v>
      </c>
    </row>
    <row r="12" spans="1:7" x14ac:dyDescent="0.2">
      <c r="A12" s="42" t="s">
        <v>151</v>
      </c>
      <c r="B12" s="20">
        <v>14215</v>
      </c>
      <c r="C12" s="20">
        <v>0</v>
      </c>
      <c r="D12" s="20">
        <v>14215</v>
      </c>
      <c r="E12" s="20">
        <v>0</v>
      </c>
      <c r="F12" s="20">
        <v>14215</v>
      </c>
      <c r="G12" s="43">
        <v>21323</v>
      </c>
    </row>
    <row r="13" spans="1:7" x14ac:dyDescent="0.2">
      <c r="A13" s="42" t="s">
        <v>152</v>
      </c>
      <c r="B13" s="20">
        <v>36792</v>
      </c>
      <c r="C13" s="20">
        <v>0</v>
      </c>
      <c r="D13" s="20">
        <v>36792</v>
      </c>
      <c r="E13" s="20">
        <v>0</v>
      </c>
      <c r="F13" s="20">
        <v>36792</v>
      </c>
      <c r="G13" s="43">
        <v>55188</v>
      </c>
    </row>
    <row r="14" spans="1:7" x14ac:dyDescent="0.2">
      <c r="A14" s="42" t="s">
        <v>153</v>
      </c>
      <c r="B14" s="20">
        <v>23821</v>
      </c>
      <c r="C14" s="20">
        <v>0</v>
      </c>
      <c r="D14" s="20">
        <v>23821</v>
      </c>
      <c r="E14" s="20">
        <v>0</v>
      </c>
      <c r="F14" s="20">
        <v>23821</v>
      </c>
      <c r="G14" s="43">
        <v>35732</v>
      </c>
    </row>
    <row r="15" spans="1:7" x14ac:dyDescent="0.2">
      <c r="A15" s="42" t="s">
        <v>154</v>
      </c>
      <c r="B15" s="20">
        <v>100170</v>
      </c>
      <c r="C15" s="20">
        <v>0</v>
      </c>
      <c r="D15" s="20">
        <v>100170</v>
      </c>
      <c r="E15" s="20">
        <v>0</v>
      </c>
      <c r="F15" s="20">
        <v>100170</v>
      </c>
      <c r="G15" s="43">
        <v>150256</v>
      </c>
    </row>
    <row r="16" spans="1:7" x14ac:dyDescent="0.2">
      <c r="A16" s="42" t="s">
        <v>155</v>
      </c>
      <c r="B16" s="20">
        <v>29276</v>
      </c>
      <c r="C16" s="20">
        <v>0</v>
      </c>
      <c r="D16" s="20">
        <v>29276</v>
      </c>
      <c r="E16" s="20">
        <v>0</v>
      </c>
      <c r="F16" s="20">
        <v>29276</v>
      </c>
      <c r="G16" s="43">
        <v>43914</v>
      </c>
    </row>
    <row r="17" spans="1:7" x14ac:dyDescent="0.2">
      <c r="A17" s="42" t="s">
        <v>156</v>
      </c>
      <c r="B17" s="20">
        <v>4002</v>
      </c>
      <c r="C17" s="20">
        <v>0</v>
      </c>
      <c r="D17" s="20">
        <v>4002</v>
      </c>
      <c r="E17" s="20">
        <v>0</v>
      </c>
      <c r="F17" s="20">
        <v>4002</v>
      </c>
      <c r="G17" s="43">
        <v>6002</v>
      </c>
    </row>
    <row r="18" spans="1:7" x14ac:dyDescent="0.2">
      <c r="A18" s="42" t="s">
        <v>157</v>
      </c>
      <c r="B18" s="20">
        <v>7849</v>
      </c>
      <c r="C18" s="20">
        <v>0</v>
      </c>
      <c r="D18" s="20">
        <v>7849</v>
      </c>
      <c r="E18" s="20">
        <v>0</v>
      </c>
      <c r="F18" s="20">
        <v>7849</v>
      </c>
      <c r="G18" s="43">
        <v>11774</v>
      </c>
    </row>
    <row r="19" spans="1:7" x14ac:dyDescent="0.2">
      <c r="A19" s="42" t="s">
        <v>158</v>
      </c>
      <c r="B19" s="20">
        <v>36780</v>
      </c>
      <c r="C19" s="20">
        <v>0</v>
      </c>
      <c r="D19" s="20">
        <v>36780</v>
      </c>
      <c r="E19" s="20">
        <v>0</v>
      </c>
      <c r="F19" s="20">
        <v>36780</v>
      </c>
      <c r="G19" s="43">
        <v>55170</v>
      </c>
    </row>
    <row r="20" spans="1:7" x14ac:dyDescent="0.2">
      <c r="A20" s="42" t="s">
        <v>159</v>
      </c>
      <c r="B20" s="20">
        <v>28822</v>
      </c>
      <c r="C20" s="20">
        <v>0</v>
      </c>
      <c r="D20" s="20">
        <v>28822</v>
      </c>
      <c r="E20" s="20">
        <v>0</v>
      </c>
      <c r="F20" s="20">
        <v>28822</v>
      </c>
      <c r="G20" s="43">
        <v>43233</v>
      </c>
    </row>
    <row r="21" spans="1:7" x14ac:dyDescent="0.2">
      <c r="A21" s="42" t="s">
        <v>160</v>
      </c>
      <c r="B21" s="20">
        <v>8982</v>
      </c>
      <c r="C21" s="20">
        <v>0</v>
      </c>
      <c r="D21" s="20">
        <v>8982</v>
      </c>
      <c r="E21" s="20">
        <v>0</v>
      </c>
      <c r="F21" s="20">
        <v>8982</v>
      </c>
      <c r="G21" s="43">
        <v>13472</v>
      </c>
    </row>
    <row r="22" spans="1:7" x14ac:dyDescent="0.2">
      <c r="A22" s="42" t="s">
        <v>161</v>
      </c>
      <c r="B22" s="20">
        <v>8277</v>
      </c>
      <c r="C22" s="20">
        <v>0</v>
      </c>
      <c r="D22" s="20">
        <v>8277</v>
      </c>
      <c r="E22" s="20">
        <v>0</v>
      </c>
      <c r="F22" s="20">
        <v>8277</v>
      </c>
      <c r="G22" s="43">
        <v>12416</v>
      </c>
    </row>
    <row r="23" spans="1:7" x14ac:dyDescent="0.2">
      <c r="A23" s="42" t="s">
        <v>162</v>
      </c>
      <c r="B23" s="20">
        <v>35483</v>
      </c>
      <c r="C23" s="20">
        <v>0</v>
      </c>
      <c r="D23" s="20">
        <v>35483</v>
      </c>
      <c r="E23" s="20">
        <v>0</v>
      </c>
      <c r="F23" s="20">
        <v>35483</v>
      </c>
      <c r="G23" s="43">
        <v>53225</v>
      </c>
    </row>
    <row r="24" spans="1:7" x14ac:dyDescent="0.2">
      <c r="A24" s="42" t="s">
        <v>163</v>
      </c>
      <c r="B24" s="20">
        <v>17262</v>
      </c>
      <c r="C24" s="20">
        <v>0</v>
      </c>
      <c r="D24" s="20">
        <v>17262</v>
      </c>
      <c r="E24" s="20">
        <v>0</v>
      </c>
      <c r="F24" s="20">
        <v>17262</v>
      </c>
      <c r="G24" s="43">
        <v>25894</v>
      </c>
    </row>
    <row r="25" spans="1:7" x14ac:dyDescent="0.2">
      <c r="A25" s="42" t="s">
        <v>164</v>
      </c>
      <c r="B25" s="20">
        <v>6256</v>
      </c>
      <c r="C25" s="20">
        <v>0</v>
      </c>
      <c r="D25" s="20">
        <v>6256</v>
      </c>
      <c r="E25" s="20">
        <v>0</v>
      </c>
      <c r="F25" s="20">
        <v>6256</v>
      </c>
      <c r="G25" s="43">
        <v>9384</v>
      </c>
    </row>
    <row r="26" spans="1:7" x14ac:dyDescent="0.2">
      <c r="A26" s="42" t="s">
        <v>165</v>
      </c>
      <c r="B26" s="20">
        <v>50751</v>
      </c>
      <c r="C26" s="20">
        <v>0</v>
      </c>
      <c r="D26" s="20">
        <v>50751</v>
      </c>
      <c r="E26" s="20">
        <v>0</v>
      </c>
      <c r="F26" s="20">
        <v>50751</v>
      </c>
      <c r="G26" s="43">
        <v>76127</v>
      </c>
    </row>
    <row r="27" spans="1:7" x14ac:dyDescent="0.2">
      <c r="A27" s="42" t="s">
        <v>166</v>
      </c>
      <c r="B27" s="20">
        <v>56963</v>
      </c>
      <c r="C27" s="20">
        <v>0</v>
      </c>
      <c r="D27" s="20">
        <v>56963</v>
      </c>
      <c r="E27" s="20">
        <v>0</v>
      </c>
      <c r="F27" s="20">
        <v>56963</v>
      </c>
      <c r="G27" s="43">
        <v>85445</v>
      </c>
    </row>
    <row r="28" spans="1:7" x14ac:dyDescent="0.2">
      <c r="A28" s="42" t="s">
        <v>167</v>
      </c>
      <c r="B28" s="20">
        <v>36441</v>
      </c>
      <c r="C28" s="20">
        <v>0</v>
      </c>
      <c r="D28" s="20">
        <v>36441</v>
      </c>
      <c r="E28" s="20">
        <v>0</v>
      </c>
      <c r="F28" s="20">
        <v>36441</v>
      </c>
      <c r="G28" s="43">
        <v>54661</v>
      </c>
    </row>
    <row r="29" spans="1:7" x14ac:dyDescent="0.2">
      <c r="A29" s="42" t="s">
        <v>168</v>
      </c>
      <c r="B29" s="20">
        <v>11230</v>
      </c>
      <c r="C29" s="20">
        <v>0</v>
      </c>
      <c r="D29" s="20">
        <v>11230</v>
      </c>
      <c r="E29" s="20">
        <v>0</v>
      </c>
      <c r="F29" s="20">
        <v>11230</v>
      </c>
      <c r="G29" s="43">
        <v>16846</v>
      </c>
    </row>
    <row r="30" spans="1:7" x14ac:dyDescent="0.2">
      <c r="A30" s="42" t="s">
        <v>169</v>
      </c>
      <c r="B30" s="20">
        <v>7162</v>
      </c>
      <c r="C30" s="20">
        <v>0</v>
      </c>
      <c r="D30" s="20">
        <v>7162</v>
      </c>
      <c r="E30" s="20">
        <v>0</v>
      </c>
      <c r="F30" s="20">
        <v>7162</v>
      </c>
      <c r="G30" s="43">
        <v>10743</v>
      </c>
    </row>
    <row r="31" spans="1:7" x14ac:dyDescent="0.2">
      <c r="A31" s="42" t="s">
        <v>170</v>
      </c>
      <c r="B31" s="20">
        <v>25018</v>
      </c>
      <c r="C31" s="20">
        <v>0</v>
      </c>
      <c r="D31" s="20">
        <v>25018</v>
      </c>
      <c r="E31" s="20">
        <v>0</v>
      </c>
      <c r="F31" s="20">
        <v>25018</v>
      </c>
      <c r="G31" s="43">
        <v>37527</v>
      </c>
    </row>
    <row r="32" spans="1:7" x14ac:dyDescent="0.2">
      <c r="A32" s="42" t="s">
        <v>171</v>
      </c>
      <c r="B32" s="20">
        <v>4001</v>
      </c>
      <c r="C32" s="20">
        <v>0</v>
      </c>
      <c r="D32" s="20">
        <v>4001</v>
      </c>
      <c r="E32" s="20">
        <v>0</v>
      </c>
      <c r="F32" s="20">
        <v>4001</v>
      </c>
      <c r="G32" s="43">
        <v>6002</v>
      </c>
    </row>
    <row r="33" spans="1:7" x14ac:dyDescent="0.2">
      <c r="A33" s="42" t="s">
        <v>172</v>
      </c>
      <c r="B33" s="20">
        <v>4443</v>
      </c>
      <c r="C33" s="20">
        <v>0</v>
      </c>
      <c r="D33" s="20">
        <v>4443</v>
      </c>
      <c r="E33" s="20">
        <v>0</v>
      </c>
      <c r="F33" s="20">
        <v>4443</v>
      </c>
      <c r="G33" s="43">
        <v>6664</v>
      </c>
    </row>
    <row r="34" spans="1:7" x14ac:dyDescent="0.2">
      <c r="A34" s="42" t="s">
        <v>173</v>
      </c>
      <c r="B34" s="20">
        <v>16537</v>
      </c>
      <c r="C34" s="20">
        <v>0</v>
      </c>
      <c r="D34" s="20">
        <v>16537</v>
      </c>
      <c r="E34" s="20">
        <v>0</v>
      </c>
      <c r="F34" s="20">
        <v>16537</v>
      </c>
      <c r="G34" s="43">
        <v>24805</v>
      </c>
    </row>
    <row r="35" spans="1:7" x14ac:dyDescent="0.2">
      <c r="A35" s="42" t="s">
        <v>174</v>
      </c>
      <c r="B35" s="20">
        <v>28135</v>
      </c>
      <c r="C35" s="20">
        <v>0</v>
      </c>
      <c r="D35" s="20">
        <v>28135</v>
      </c>
      <c r="E35" s="20">
        <v>0</v>
      </c>
      <c r="F35" s="20">
        <v>28135</v>
      </c>
      <c r="G35" s="43">
        <v>42202</v>
      </c>
    </row>
    <row r="36" spans="1:7" x14ac:dyDescent="0.2">
      <c r="A36" s="42" t="s">
        <v>175</v>
      </c>
      <c r="B36" s="20">
        <v>65970</v>
      </c>
      <c r="C36" s="20">
        <v>0</v>
      </c>
      <c r="D36" s="20">
        <v>65970</v>
      </c>
      <c r="E36" s="20">
        <v>0</v>
      </c>
      <c r="F36" s="20">
        <v>65970</v>
      </c>
      <c r="G36" s="43">
        <v>98955</v>
      </c>
    </row>
    <row r="37" spans="1:7" x14ac:dyDescent="0.2">
      <c r="A37" s="42" t="s">
        <v>176</v>
      </c>
      <c r="B37" s="20">
        <v>7534</v>
      </c>
      <c r="C37" s="20">
        <v>0</v>
      </c>
      <c r="D37" s="20">
        <v>7534</v>
      </c>
      <c r="E37" s="20">
        <v>0</v>
      </c>
      <c r="F37" s="20">
        <v>7534</v>
      </c>
      <c r="G37" s="43">
        <v>11301</v>
      </c>
    </row>
    <row r="38" spans="1:7" x14ac:dyDescent="0.2">
      <c r="A38" s="42" t="s">
        <v>177</v>
      </c>
      <c r="B38" s="20">
        <v>56235</v>
      </c>
      <c r="C38" s="20">
        <v>0</v>
      </c>
      <c r="D38" s="20">
        <v>56235</v>
      </c>
      <c r="E38" s="20">
        <v>0</v>
      </c>
      <c r="F38" s="20">
        <v>56235</v>
      </c>
      <c r="G38" s="43">
        <v>84353</v>
      </c>
    </row>
    <row r="39" spans="1:7" x14ac:dyDescent="0.2">
      <c r="A39" s="42" t="s">
        <v>178</v>
      </c>
      <c r="B39" s="20">
        <v>35149</v>
      </c>
      <c r="C39" s="20">
        <v>0</v>
      </c>
      <c r="D39" s="20">
        <v>35149</v>
      </c>
      <c r="E39" s="20">
        <v>0</v>
      </c>
      <c r="F39" s="20">
        <v>35149</v>
      </c>
      <c r="G39" s="43">
        <v>52724</v>
      </c>
    </row>
    <row r="40" spans="1:7" x14ac:dyDescent="0.2">
      <c r="A40" s="42" t="s">
        <v>179</v>
      </c>
      <c r="B40" s="20">
        <v>4001</v>
      </c>
      <c r="C40" s="20">
        <v>0</v>
      </c>
      <c r="D40" s="20">
        <v>4001</v>
      </c>
      <c r="E40" s="20">
        <v>0</v>
      </c>
      <c r="F40" s="20">
        <v>4001</v>
      </c>
      <c r="G40" s="43">
        <v>6001</v>
      </c>
    </row>
    <row r="41" spans="1:7" x14ac:dyDescent="0.2">
      <c r="A41" s="42" t="s">
        <v>180</v>
      </c>
      <c r="B41" s="20">
        <v>96228</v>
      </c>
      <c r="C41" s="20">
        <v>0</v>
      </c>
      <c r="D41" s="20">
        <v>96228</v>
      </c>
      <c r="E41" s="20">
        <v>0</v>
      </c>
      <c r="F41" s="20">
        <v>96228</v>
      </c>
      <c r="G41" s="43">
        <v>144343</v>
      </c>
    </row>
    <row r="42" spans="1:7" x14ac:dyDescent="0.2">
      <c r="A42" s="42" t="s">
        <v>181</v>
      </c>
      <c r="B42" s="20">
        <v>15973</v>
      </c>
      <c r="C42" s="20">
        <v>0</v>
      </c>
      <c r="D42" s="20">
        <v>15973</v>
      </c>
      <c r="E42" s="20">
        <v>0</v>
      </c>
      <c r="F42" s="20">
        <v>15973</v>
      </c>
      <c r="G42" s="43">
        <v>23960</v>
      </c>
    </row>
    <row r="43" spans="1:7" x14ac:dyDescent="0.2">
      <c r="A43" s="42" t="s">
        <v>182</v>
      </c>
      <c r="B43" s="20">
        <v>15301</v>
      </c>
      <c r="C43" s="20">
        <v>0</v>
      </c>
      <c r="D43" s="20">
        <v>15301</v>
      </c>
      <c r="E43" s="20">
        <v>0</v>
      </c>
      <c r="F43" s="20">
        <v>15301</v>
      </c>
      <c r="G43" s="43">
        <v>22952</v>
      </c>
    </row>
    <row r="44" spans="1:7" x14ac:dyDescent="0.2">
      <c r="A44" s="42" t="s">
        <v>183</v>
      </c>
      <c r="B44" s="20">
        <v>79829</v>
      </c>
      <c r="C44" s="20">
        <v>0</v>
      </c>
      <c r="D44" s="20">
        <v>79829</v>
      </c>
      <c r="E44" s="20">
        <v>0</v>
      </c>
      <c r="F44" s="20">
        <v>79829</v>
      </c>
      <c r="G44" s="43">
        <v>119743</v>
      </c>
    </row>
    <row r="45" spans="1:7" x14ac:dyDescent="0.2">
      <c r="A45" s="42" t="s">
        <v>184</v>
      </c>
      <c r="B45" s="20">
        <v>4394</v>
      </c>
      <c r="C45" s="20">
        <v>0</v>
      </c>
      <c r="D45" s="20">
        <v>4394</v>
      </c>
      <c r="E45" s="20">
        <v>0</v>
      </c>
      <c r="F45" s="20">
        <v>4394</v>
      </c>
      <c r="G45" s="43">
        <v>6591</v>
      </c>
    </row>
    <row r="46" spans="1:7" x14ac:dyDescent="0.2">
      <c r="A46" s="42" t="s">
        <v>185</v>
      </c>
      <c r="B46" s="20">
        <v>17939</v>
      </c>
      <c r="C46" s="20">
        <v>0</v>
      </c>
      <c r="D46" s="20">
        <v>17939</v>
      </c>
      <c r="E46" s="20">
        <v>0</v>
      </c>
      <c r="F46" s="20">
        <v>17939</v>
      </c>
      <c r="G46" s="43">
        <v>26909</v>
      </c>
    </row>
    <row r="47" spans="1:7" x14ac:dyDescent="0.2">
      <c r="A47" s="42" t="s">
        <v>186</v>
      </c>
      <c r="B47" s="20">
        <v>4001</v>
      </c>
      <c r="C47" s="20">
        <v>0</v>
      </c>
      <c r="D47" s="20">
        <v>4001</v>
      </c>
      <c r="E47" s="20">
        <v>0</v>
      </c>
      <c r="F47" s="20">
        <v>4001</v>
      </c>
      <c r="G47" s="43">
        <v>6002</v>
      </c>
    </row>
    <row r="48" spans="1:7" x14ac:dyDescent="0.2">
      <c r="A48" s="42" t="s">
        <v>187</v>
      </c>
      <c r="B48" s="20">
        <v>30117</v>
      </c>
      <c r="C48" s="20">
        <v>0</v>
      </c>
      <c r="D48" s="20">
        <v>30117</v>
      </c>
      <c r="E48" s="20">
        <v>0</v>
      </c>
      <c r="F48" s="20">
        <v>30117</v>
      </c>
      <c r="G48" s="43">
        <v>45176</v>
      </c>
    </row>
    <row r="49" spans="1:7" x14ac:dyDescent="0.2">
      <c r="A49" s="42" t="s">
        <v>188</v>
      </c>
      <c r="B49" s="20">
        <v>52194</v>
      </c>
      <c r="C49" s="20">
        <v>0</v>
      </c>
      <c r="D49" s="20">
        <v>52194</v>
      </c>
      <c r="E49" s="20">
        <v>0</v>
      </c>
      <c r="F49" s="20">
        <v>52194</v>
      </c>
      <c r="G49" s="43">
        <v>78291</v>
      </c>
    </row>
    <row r="50" spans="1:7" x14ac:dyDescent="0.2">
      <c r="A50" s="42" t="s">
        <v>189</v>
      </c>
      <c r="B50" s="20">
        <v>10721</v>
      </c>
      <c r="C50" s="20">
        <v>0</v>
      </c>
      <c r="D50" s="20">
        <v>10721</v>
      </c>
      <c r="E50" s="20">
        <v>0</v>
      </c>
      <c r="F50" s="20">
        <v>10721</v>
      </c>
      <c r="G50" s="43">
        <v>16082</v>
      </c>
    </row>
    <row r="51" spans="1:7" x14ac:dyDescent="0.2">
      <c r="A51" s="42" t="s">
        <v>190</v>
      </c>
      <c r="B51" s="20">
        <v>4001</v>
      </c>
      <c r="C51" s="20">
        <v>0</v>
      </c>
      <c r="D51" s="20">
        <v>4001</v>
      </c>
      <c r="E51" s="20">
        <v>0</v>
      </c>
      <c r="F51" s="20">
        <v>4001</v>
      </c>
      <c r="G51" s="43">
        <v>6002</v>
      </c>
    </row>
    <row r="52" spans="1:7" x14ac:dyDescent="0.2">
      <c r="A52" s="42" t="s">
        <v>191</v>
      </c>
      <c r="B52" s="20">
        <v>27641</v>
      </c>
      <c r="C52" s="20">
        <v>0</v>
      </c>
      <c r="D52" s="20">
        <v>27641</v>
      </c>
      <c r="E52" s="20">
        <v>0</v>
      </c>
      <c r="F52" s="20">
        <v>27641</v>
      </c>
      <c r="G52" s="43">
        <v>41461</v>
      </c>
    </row>
    <row r="53" spans="1:7" x14ac:dyDescent="0.2">
      <c r="A53" s="42" t="s">
        <v>192</v>
      </c>
      <c r="B53" s="20">
        <v>27174</v>
      </c>
      <c r="C53" s="20">
        <v>0</v>
      </c>
      <c r="D53" s="20">
        <v>27174</v>
      </c>
      <c r="E53" s="20">
        <v>0</v>
      </c>
      <c r="F53" s="20">
        <v>27174</v>
      </c>
      <c r="G53" s="43">
        <v>40761</v>
      </c>
    </row>
    <row r="54" spans="1:7" x14ac:dyDescent="0.2">
      <c r="A54" s="42" t="s">
        <v>193</v>
      </c>
      <c r="B54" s="20">
        <v>43762</v>
      </c>
      <c r="C54" s="20">
        <v>0</v>
      </c>
      <c r="D54" s="20">
        <v>43762</v>
      </c>
      <c r="E54" s="20">
        <v>0</v>
      </c>
      <c r="F54" s="20">
        <v>43762</v>
      </c>
      <c r="G54" s="43">
        <v>65642</v>
      </c>
    </row>
    <row r="55" spans="1:7" x14ac:dyDescent="0.2">
      <c r="A55" s="42" t="s">
        <v>194</v>
      </c>
      <c r="B55" s="20">
        <v>16728</v>
      </c>
      <c r="C55" s="20">
        <v>0</v>
      </c>
      <c r="D55" s="20">
        <v>16728</v>
      </c>
      <c r="E55" s="20">
        <v>0</v>
      </c>
      <c r="F55" s="20">
        <v>16728</v>
      </c>
      <c r="G55" s="43">
        <v>25092</v>
      </c>
    </row>
    <row r="56" spans="1:7" x14ac:dyDescent="0.2">
      <c r="A56" s="42" t="s">
        <v>195</v>
      </c>
      <c r="B56" s="20">
        <v>4001</v>
      </c>
      <c r="C56" s="20">
        <v>0</v>
      </c>
      <c r="D56" s="20">
        <v>4001</v>
      </c>
      <c r="E56" s="20">
        <v>0</v>
      </c>
      <c r="F56" s="20">
        <v>4001</v>
      </c>
      <c r="G56" s="43">
        <v>6001</v>
      </c>
    </row>
    <row r="57" spans="1:7" x14ac:dyDescent="0.2">
      <c r="A57" s="42" t="s">
        <v>196</v>
      </c>
      <c r="B57" s="20">
        <v>250</v>
      </c>
      <c r="C57" s="20">
        <v>0</v>
      </c>
      <c r="D57" s="20">
        <v>250</v>
      </c>
      <c r="E57" s="20">
        <v>0</v>
      </c>
      <c r="F57" s="20">
        <v>250</v>
      </c>
      <c r="G57" s="43">
        <v>375</v>
      </c>
    </row>
    <row r="58" spans="1:7" x14ac:dyDescent="0.2">
      <c r="A58" s="42" t="s">
        <v>197</v>
      </c>
      <c r="B58" s="20">
        <v>250</v>
      </c>
      <c r="C58" s="20">
        <v>0</v>
      </c>
      <c r="D58" s="20">
        <v>250</v>
      </c>
      <c r="E58" s="20">
        <v>0</v>
      </c>
      <c r="F58" s="20">
        <v>250</v>
      </c>
      <c r="G58" s="43">
        <v>375</v>
      </c>
    </row>
    <row r="59" spans="1:7" x14ac:dyDescent="0.2">
      <c r="A59" s="42" t="s">
        <v>198</v>
      </c>
      <c r="B59" s="20">
        <v>250</v>
      </c>
      <c r="C59" s="20">
        <v>0</v>
      </c>
      <c r="D59" s="20">
        <v>250</v>
      </c>
      <c r="E59" s="20">
        <v>0</v>
      </c>
      <c r="F59" s="20">
        <v>250</v>
      </c>
      <c r="G59" s="43">
        <v>375</v>
      </c>
    </row>
    <row r="60" spans="1:7" x14ac:dyDescent="0.2">
      <c r="A60" s="42" t="s">
        <v>199</v>
      </c>
      <c r="B60" s="20">
        <v>12025</v>
      </c>
      <c r="C60" s="20">
        <v>0</v>
      </c>
      <c r="D60" s="20">
        <v>12025</v>
      </c>
      <c r="E60" s="20">
        <v>0</v>
      </c>
      <c r="F60" s="20">
        <v>12025</v>
      </c>
      <c r="G60" s="43">
        <v>18038</v>
      </c>
    </row>
    <row r="61" spans="1:7" x14ac:dyDescent="0.2">
      <c r="A61" s="42" t="s">
        <v>200</v>
      </c>
      <c r="B61" s="20">
        <v>250</v>
      </c>
      <c r="C61" s="20">
        <v>0</v>
      </c>
      <c r="D61" s="20">
        <v>250</v>
      </c>
      <c r="E61" s="20">
        <v>0</v>
      </c>
      <c r="F61" s="20">
        <v>250</v>
      </c>
      <c r="G61" s="43">
        <v>375</v>
      </c>
    </row>
    <row r="62" spans="1:7" x14ac:dyDescent="0.2">
      <c r="A62" s="42" t="s">
        <v>201</v>
      </c>
      <c r="B62" s="20">
        <v>250</v>
      </c>
      <c r="C62" s="20">
        <v>0</v>
      </c>
      <c r="D62" s="20">
        <v>250</v>
      </c>
      <c r="E62" s="20">
        <v>0</v>
      </c>
      <c r="F62" s="20">
        <v>250</v>
      </c>
      <c r="G62" s="43">
        <v>375</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1419998</v>
      </c>
      <c r="C65" s="45">
        <v>0</v>
      </c>
      <c r="D65" s="45">
        <v>1419998</v>
      </c>
      <c r="E65" s="45">
        <v>0</v>
      </c>
      <c r="F65" s="45">
        <v>1419998</v>
      </c>
      <c r="G65" s="51">
        <v>2130003</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5" t="s">
        <v>231</v>
      </c>
      <c r="B1" s="16"/>
      <c r="C1" s="16"/>
      <c r="D1" s="16"/>
      <c r="E1" s="16"/>
      <c r="F1" s="16"/>
      <c r="G1" s="15" t="s">
        <v>232</v>
      </c>
    </row>
    <row r="2" spans="1:7" x14ac:dyDescent="0.2">
      <c r="A2" s="17" t="s">
        <v>348</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23091</v>
      </c>
      <c r="C6" s="20">
        <v>0</v>
      </c>
      <c r="D6" s="20">
        <v>23092</v>
      </c>
      <c r="E6" s="20">
        <v>18691</v>
      </c>
      <c r="F6" s="20">
        <v>41782</v>
      </c>
      <c r="G6" s="43">
        <v>44442</v>
      </c>
    </row>
    <row r="7" spans="1:7" x14ac:dyDescent="0.2">
      <c r="A7" s="42" t="s">
        <v>146</v>
      </c>
      <c r="B7" s="20">
        <v>5889</v>
      </c>
      <c r="C7" s="20">
        <v>0</v>
      </c>
      <c r="D7" s="20">
        <v>5890</v>
      </c>
      <c r="E7" s="20">
        <v>4767</v>
      </c>
      <c r="F7" s="20">
        <v>10657</v>
      </c>
      <c r="G7" s="43">
        <v>13155</v>
      </c>
    </row>
    <row r="8" spans="1:7" x14ac:dyDescent="0.2">
      <c r="A8" s="42" t="s">
        <v>147</v>
      </c>
      <c r="B8" s="20">
        <v>40429</v>
      </c>
      <c r="C8" s="20">
        <v>0</v>
      </c>
      <c r="D8" s="20">
        <v>40592</v>
      </c>
      <c r="E8" s="20">
        <v>32725</v>
      </c>
      <c r="F8" s="20">
        <v>73317</v>
      </c>
      <c r="G8" s="43">
        <v>84907</v>
      </c>
    </row>
    <row r="9" spans="1:7" x14ac:dyDescent="0.2">
      <c r="A9" s="42" t="s">
        <v>148</v>
      </c>
      <c r="B9" s="20">
        <v>13525</v>
      </c>
      <c r="C9" s="20">
        <v>0</v>
      </c>
      <c r="D9" s="20">
        <v>13526</v>
      </c>
      <c r="E9" s="20">
        <v>10948</v>
      </c>
      <c r="F9" s="20">
        <v>24474</v>
      </c>
      <c r="G9" s="43">
        <v>25737</v>
      </c>
    </row>
    <row r="10" spans="1:7" x14ac:dyDescent="0.2">
      <c r="A10" s="42" t="s">
        <v>149</v>
      </c>
      <c r="B10" s="20">
        <v>254429</v>
      </c>
      <c r="C10" s="20">
        <v>0</v>
      </c>
      <c r="D10" s="20">
        <v>254439</v>
      </c>
      <c r="E10" s="20">
        <v>205947</v>
      </c>
      <c r="F10" s="20">
        <v>460386</v>
      </c>
      <c r="G10" s="43">
        <v>461098</v>
      </c>
    </row>
    <row r="11" spans="1:7" x14ac:dyDescent="0.2">
      <c r="A11" s="42" t="s">
        <v>150</v>
      </c>
      <c r="B11" s="20">
        <v>28916</v>
      </c>
      <c r="C11" s="20">
        <v>0</v>
      </c>
      <c r="D11" s="20">
        <v>28918</v>
      </c>
      <c r="E11" s="20">
        <v>23406</v>
      </c>
      <c r="F11" s="20">
        <v>52324</v>
      </c>
      <c r="G11" s="43">
        <v>65040</v>
      </c>
    </row>
    <row r="12" spans="1:7" x14ac:dyDescent="0.2">
      <c r="A12" s="42" t="s">
        <v>151</v>
      </c>
      <c r="B12" s="20">
        <v>18213</v>
      </c>
      <c r="C12" s="20">
        <v>0</v>
      </c>
      <c r="D12" s="20">
        <v>18214</v>
      </c>
      <c r="E12" s="20">
        <v>14743</v>
      </c>
      <c r="F12" s="20">
        <v>32957</v>
      </c>
      <c r="G12" s="43">
        <v>37316</v>
      </c>
    </row>
    <row r="13" spans="1:7" x14ac:dyDescent="0.2">
      <c r="A13" s="42" t="s">
        <v>152</v>
      </c>
      <c r="B13" s="20">
        <v>6968</v>
      </c>
      <c r="C13" s="20">
        <v>0</v>
      </c>
      <c r="D13" s="20">
        <v>6968</v>
      </c>
      <c r="E13" s="20">
        <v>5640</v>
      </c>
      <c r="F13" s="20">
        <v>12609</v>
      </c>
      <c r="G13" s="43">
        <v>13155</v>
      </c>
    </row>
    <row r="14" spans="1:7" x14ac:dyDescent="0.2">
      <c r="A14" s="42" t="s">
        <v>153</v>
      </c>
      <c r="B14" s="20">
        <v>6968</v>
      </c>
      <c r="C14" s="20">
        <v>0</v>
      </c>
      <c r="D14" s="20">
        <v>6968</v>
      </c>
      <c r="E14" s="20">
        <v>5640</v>
      </c>
      <c r="F14" s="20">
        <v>12609</v>
      </c>
      <c r="G14" s="43">
        <v>13155</v>
      </c>
    </row>
    <row r="15" spans="1:7" x14ac:dyDescent="0.2">
      <c r="A15" s="42" t="s">
        <v>154</v>
      </c>
      <c r="B15" s="20">
        <v>111385</v>
      </c>
      <c r="C15" s="20">
        <v>0</v>
      </c>
      <c r="D15" s="20">
        <v>111390</v>
      </c>
      <c r="E15" s="20">
        <v>90161</v>
      </c>
      <c r="F15" s="20">
        <v>201551</v>
      </c>
      <c r="G15" s="43">
        <v>211450</v>
      </c>
    </row>
    <row r="16" spans="1:7" x14ac:dyDescent="0.2">
      <c r="A16" s="42" t="s">
        <v>155</v>
      </c>
      <c r="B16" s="20">
        <v>57155</v>
      </c>
      <c r="C16" s="20">
        <v>0</v>
      </c>
      <c r="D16" s="20">
        <v>57158</v>
      </c>
      <c r="E16" s="20">
        <v>46264</v>
      </c>
      <c r="F16" s="20">
        <v>103422</v>
      </c>
      <c r="G16" s="43">
        <v>101749</v>
      </c>
    </row>
    <row r="17" spans="1:7" x14ac:dyDescent="0.2">
      <c r="A17" s="42" t="s">
        <v>156</v>
      </c>
      <c r="B17" s="20">
        <v>8583</v>
      </c>
      <c r="C17" s="20">
        <v>0</v>
      </c>
      <c r="D17" s="20">
        <v>8583</v>
      </c>
      <c r="E17" s="20">
        <v>6947</v>
      </c>
      <c r="F17" s="20">
        <v>15530</v>
      </c>
      <c r="G17" s="43">
        <v>15101</v>
      </c>
    </row>
    <row r="18" spans="1:7" x14ac:dyDescent="0.2">
      <c r="A18" s="42" t="s">
        <v>157</v>
      </c>
      <c r="B18" s="20">
        <v>8536</v>
      </c>
      <c r="C18" s="20">
        <v>0</v>
      </c>
      <c r="D18" s="20">
        <v>8537</v>
      </c>
      <c r="E18" s="20">
        <v>6910</v>
      </c>
      <c r="F18" s="20">
        <v>15446</v>
      </c>
      <c r="G18" s="43">
        <v>16248</v>
      </c>
    </row>
    <row r="19" spans="1:7" x14ac:dyDescent="0.2">
      <c r="A19" s="42" t="s">
        <v>158</v>
      </c>
      <c r="B19" s="20">
        <v>67649</v>
      </c>
      <c r="C19" s="20">
        <v>0</v>
      </c>
      <c r="D19" s="20">
        <v>67652</v>
      </c>
      <c r="E19" s="20">
        <v>54759</v>
      </c>
      <c r="F19" s="20">
        <v>122411</v>
      </c>
      <c r="G19" s="43">
        <v>106653</v>
      </c>
    </row>
    <row r="20" spans="1:7" x14ac:dyDescent="0.2">
      <c r="A20" s="42" t="s">
        <v>159</v>
      </c>
      <c r="B20" s="20">
        <v>32248</v>
      </c>
      <c r="C20" s="20">
        <v>0</v>
      </c>
      <c r="D20" s="20">
        <v>32249</v>
      </c>
      <c r="E20" s="20">
        <v>26103</v>
      </c>
      <c r="F20" s="20">
        <v>58352</v>
      </c>
      <c r="G20" s="43">
        <v>66538</v>
      </c>
    </row>
    <row r="21" spans="1:7" x14ac:dyDescent="0.2">
      <c r="A21" s="42" t="s">
        <v>160</v>
      </c>
      <c r="B21" s="20">
        <v>13094</v>
      </c>
      <c r="C21" s="20">
        <v>0</v>
      </c>
      <c r="D21" s="20">
        <v>13095</v>
      </c>
      <c r="E21" s="20">
        <v>10599</v>
      </c>
      <c r="F21" s="20">
        <v>23694</v>
      </c>
      <c r="G21" s="43">
        <v>25139</v>
      </c>
    </row>
    <row r="22" spans="1:7" x14ac:dyDescent="0.2">
      <c r="A22" s="42" t="s">
        <v>161</v>
      </c>
      <c r="B22" s="20">
        <v>11900</v>
      </c>
      <c r="C22" s="20">
        <v>0</v>
      </c>
      <c r="D22" s="20">
        <v>11901</v>
      </c>
      <c r="E22" s="20">
        <v>9633</v>
      </c>
      <c r="F22" s="20">
        <v>21533</v>
      </c>
      <c r="G22" s="43">
        <v>23646</v>
      </c>
    </row>
    <row r="23" spans="1:7" x14ac:dyDescent="0.2">
      <c r="A23" s="42" t="s">
        <v>162</v>
      </c>
      <c r="B23" s="20">
        <v>20379</v>
      </c>
      <c r="C23" s="20">
        <v>0</v>
      </c>
      <c r="D23" s="20">
        <v>20380</v>
      </c>
      <c r="E23" s="20">
        <v>16496</v>
      </c>
      <c r="F23" s="20">
        <v>36876</v>
      </c>
      <c r="G23" s="43">
        <v>38264</v>
      </c>
    </row>
    <row r="24" spans="1:7" x14ac:dyDescent="0.2">
      <c r="A24" s="42" t="s">
        <v>163</v>
      </c>
      <c r="B24" s="20">
        <v>25028</v>
      </c>
      <c r="C24" s="20">
        <v>0</v>
      </c>
      <c r="D24" s="20">
        <v>25029</v>
      </c>
      <c r="E24" s="20">
        <v>20259</v>
      </c>
      <c r="F24" s="20">
        <v>45288</v>
      </c>
      <c r="G24" s="43">
        <v>40867</v>
      </c>
    </row>
    <row r="25" spans="1:7" x14ac:dyDescent="0.2">
      <c r="A25" s="42" t="s">
        <v>164</v>
      </c>
      <c r="B25" s="20">
        <v>6968</v>
      </c>
      <c r="C25" s="20">
        <v>0</v>
      </c>
      <c r="D25" s="20">
        <v>6968</v>
      </c>
      <c r="E25" s="20">
        <v>5640</v>
      </c>
      <c r="F25" s="20">
        <v>12609</v>
      </c>
      <c r="G25" s="43">
        <v>13155</v>
      </c>
    </row>
    <row r="26" spans="1:7" x14ac:dyDescent="0.2">
      <c r="A26" s="42" t="s">
        <v>165</v>
      </c>
      <c r="B26" s="20">
        <v>34082</v>
      </c>
      <c r="C26" s="20">
        <v>0</v>
      </c>
      <c r="D26" s="20">
        <v>34083</v>
      </c>
      <c r="E26" s="20">
        <v>27588</v>
      </c>
      <c r="F26" s="20">
        <v>61671</v>
      </c>
      <c r="G26" s="43">
        <v>56665</v>
      </c>
    </row>
    <row r="27" spans="1:7" x14ac:dyDescent="0.2">
      <c r="A27" s="42" t="s">
        <v>166</v>
      </c>
      <c r="B27" s="20">
        <v>39847</v>
      </c>
      <c r="C27" s="20">
        <v>0</v>
      </c>
      <c r="D27" s="20">
        <v>39849</v>
      </c>
      <c r="E27" s="20">
        <v>32254</v>
      </c>
      <c r="F27" s="20">
        <v>72103</v>
      </c>
      <c r="G27" s="43">
        <v>80008</v>
      </c>
    </row>
    <row r="28" spans="1:7" x14ac:dyDescent="0.2">
      <c r="A28" s="42" t="s">
        <v>167</v>
      </c>
      <c r="B28" s="20">
        <v>56056</v>
      </c>
      <c r="C28" s="20">
        <v>0</v>
      </c>
      <c r="D28" s="20">
        <v>56058</v>
      </c>
      <c r="E28" s="20">
        <v>45374</v>
      </c>
      <c r="F28" s="20">
        <v>101433</v>
      </c>
      <c r="G28" s="43">
        <v>95527</v>
      </c>
    </row>
    <row r="29" spans="1:7" x14ac:dyDescent="0.2">
      <c r="A29" s="42" t="s">
        <v>168</v>
      </c>
      <c r="B29" s="20">
        <v>24103</v>
      </c>
      <c r="C29" s="20">
        <v>0</v>
      </c>
      <c r="D29" s="20">
        <v>24104</v>
      </c>
      <c r="E29" s="20">
        <v>19510</v>
      </c>
      <c r="F29" s="20">
        <v>43615</v>
      </c>
      <c r="G29" s="43">
        <v>48456</v>
      </c>
    </row>
    <row r="30" spans="1:7" x14ac:dyDescent="0.2">
      <c r="A30" s="42" t="s">
        <v>169</v>
      </c>
      <c r="B30" s="20">
        <v>13804</v>
      </c>
      <c r="C30" s="20">
        <v>0</v>
      </c>
      <c r="D30" s="20">
        <v>13805</v>
      </c>
      <c r="E30" s="20">
        <v>11174</v>
      </c>
      <c r="F30" s="20">
        <v>24979</v>
      </c>
      <c r="G30" s="43">
        <v>25523</v>
      </c>
    </row>
    <row r="31" spans="1:7" x14ac:dyDescent="0.2">
      <c r="A31" s="42" t="s">
        <v>170</v>
      </c>
      <c r="B31" s="20">
        <v>26550</v>
      </c>
      <c r="C31" s="20">
        <v>0</v>
      </c>
      <c r="D31" s="20">
        <v>26551</v>
      </c>
      <c r="E31" s="20">
        <v>21491</v>
      </c>
      <c r="F31" s="20">
        <v>48042</v>
      </c>
      <c r="G31" s="43">
        <v>52296</v>
      </c>
    </row>
    <row r="32" spans="1:7" x14ac:dyDescent="0.2">
      <c r="A32" s="42" t="s">
        <v>171</v>
      </c>
      <c r="B32" s="20">
        <v>6968</v>
      </c>
      <c r="C32" s="20">
        <v>0</v>
      </c>
      <c r="D32" s="20">
        <v>6968</v>
      </c>
      <c r="E32" s="20">
        <v>5640</v>
      </c>
      <c r="F32" s="20">
        <v>12609</v>
      </c>
      <c r="G32" s="43">
        <v>13155</v>
      </c>
    </row>
    <row r="33" spans="1:7" x14ac:dyDescent="0.2">
      <c r="A33" s="42" t="s">
        <v>172</v>
      </c>
      <c r="B33" s="20">
        <v>7642</v>
      </c>
      <c r="C33" s="20">
        <v>0</v>
      </c>
      <c r="D33" s="20">
        <v>7642</v>
      </c>
      <c r="E33" s="20">
        <v>6186</v>
      </c>
      <c r="F33" s="20">
        <v>13828</v>
      </c>
      <c r="G33" s="43">
        <v>15241</v>
      </c>
    </row>
    <row r="34" spans="1:7" x14ac:dyDescent="0.2">
      <c r="A34" s="42" t="s">
        <v>173</v>
      </c>
      <c r="B34" s="20">
        <v>17004</v>
      </c>
      <c r="C34" s="20">
        <v>0</v>
      </c>
      <c r="D34" s="20">
        <v>17005</v>
      </c>
      <c r="E34" s="20">
        <v>13764</v>
      </c>
      <c r="F34" s="20">
        <v>30769</v>
      </c>
      <c r="G34" s="43">
        <v>36290</v>
      </c>
    </row>
    <row r="35" spans="1:7" x14ac:dyDescent="0.2">
      <c r="A35" s="42" t="s">
        <v>174</v>
      </c>
      <c r="B35" s="20">
        <v>6968</v>
      </c>
      <c r="C35" s="20">
        <v>0</v>
      </c>
      <c r="D35" s="20">
        <v>6968</v>
      </c>
      <c r="E35" s="20">
        <v>5640</v>
      </c>
      <c r="F35" s="20">
        <v>12609</v>
      </c>
      <c r="G35" s="43">
        <v>13155</v>
      </c>
    </row>
    <row r="36" spans="1:7" x14ac:dyDescent="0.2">
      <c r="A36" s="42" t="s">
        <v>175</v>
      </c>
      <c r="B36" s="20">
        <v>48067</v>
      </c>
      <c r="C36" s="20">
        <v>0</v>
      </c>
      <c r="D36" s="20">
        <v>48069</v>
      </c>
      <c r="E36" s="20">
        <v>38908</v>
      </c>
      <c r="F36" s="20">
        <v>86976</v>
      </c>
      <c r="G36" s="43">
        <v>93453</v>
      </c>
    </row>
    <row r="37" spans="1:7" x14ac:dyDescent="0.2">
      <c r="A37" s="42" t="s">
        <v>176</v>
      </c>
      <c r="B37" s="20">
        <v>9566</v>
      </c>
      <c r="C37" s="20">
        <v>0</v>
      </c>
      <c r="D37" s="20">
        <v>9566</v>
      </c>
      <c r="E37" s="20">
        <v>7743</v>
      </c>
      <c r="F37" s="20">
        <v>17309</v>
      </c>
      <c r="G37" s="43">
        <v>18681</v>
      </c>
    </row>
    <row r="38" spans="1:7" x14ac:dyDescent="0.2">
      <c r="A38" s="42" t="s">
        <v>177</v>
      </c>
      <c r="B38" s="20">
        <v>111836</v>
      </c>
      <c r="C38" s="20">
        <v>0</v>
      </c>
      <c r="D38" s="20">
        <v>111841</v>
      </c>
      <c r="E38" s="20">
        <v>90526</v>
      </c>
      <c r="F38" s="20">
        <v>202366</v>
      </c>
      <c r="G38" s="43">
        <v>193522</v>
      </c>
    </row>
    <row r="39" spans="1:7" x14ac:dyDescent="0.2">
      <c r="A39" s="42" t="s">
        <v>178</v>
      </c>
      <c r="B39" s="20">
        <v>44994</v>
      </c>
      <c r="C39" s="20">
        <v>0</v>
      </c>
      <c r="D39" s="20">
        <v>44996</v>
      </c>
      <c r="E39" s="20">
        <v>36421</v>
      </c>
      <c r="F39" s="20">
        <v>81417</v>
      </c>
      <c r="G39" s="43">
        <v>93503</v>
      </c>
    </row>
    <row r="40" spans="1:7" x14ac:dyDescent="0.2">
      <c r="A40" s="42" t="s">
        <v>179</v>
      </c>
      <c r="B40" s="20">
        <v>6534</v>
      </c>
      <c r="C40" s="20">
        <v>0</v>
      </c>
      <c r="D40" s="20">
        <v>6534</v>
      </c>
      <c r="E40" s="20">
        <v>5289</v>
      </c>
      <c r="F40" s="20">
        <v>11823</v>
      </c>
      <c r="G40" s="43">
        <v>13155</v>
      </c>
    </row>
    <row r="41" spans="1:7" x14ac:dyDescent="0.2">
      <c r="A41" s="42" t="s">
        <v>180</v>
      </c>
      <c r="B41" s="20">
        <v>64539</v>
      </c>
      <c r="C41" s="20">
        <v>0</v>
      </c>
      <c r="D41" s="20">
        <v>64542</v>
      </c>
      <c r="E41" s="20">
        <v>52241</v>
      </c>
      <c r="F41" s="20">
        <v>116783</v>
      </c>
      <c r="G41" s="43">
        <v>98502</v>
      </c>
    </row>
    <row r="42" spans="1:7" x14ac:dyDescent="0.2">
      <c r="A42" s="42" t="s">
        <v>181</v>
      </c>
      <c r="B42" s="20">
        <v>17150</v>
      </c>
      <c r="C42" s="20">
        <v>0</v>
      </c>
      <c r="D42" s="20">
        <v>17151</v>
      </c>
      <c r="E42" s="20">
        <v>13882</v>
      </c>
      <c r="F42" s="20">
        <v>31033</v>
      </c>
      <c r="G42" s="43">
        <v>33994</v>
      </c>
    </row>
    <row r="43" spans="1:7" x14ac:dyDescent="0.2">
      <c r="A43" s="42" t="s">
        <v>182</v>
      </c>
      <c r="B43" s="20">
        <v>20579</v>
      </c>
      <c r="C43" s="20">
        <v>0</v>
      </c>
      <c r="D43" s="20">
        <v>20580</v>
      </c>
      <c r="E43" s="20">
        <v>16658</v>
      </c>
      <c r="F43" s="20">
        <v>37238</v>
      </c>
      <c r="G43" s="43">
        <v>47429</v>
      </c>
    </row>
    <row r="44" spans="1:7" x14ac:dyDescent="0.2">
      <c r="A44" s="42" t="s">
        <v>183</v>
      </c>
      <c r="B44" s="20">
        <v>59103</v>
      </c>
      <c r="C44" s="20">
        <v>0</v>
      </c>
      <c r="D44" s="20">
        <v>59106</v>
      </c>
      <c r="E44" s="20">
        <v>47841</v>
      </c>
      <c r="F44" s="20">
        <v>106947</v>
      </c>
      <c r="G44" s="43">
        <v>107007</v>
      </c>
    </row>
    <row r="45" spans="1:7" x14ac:dyDescent="0.2">
      <c r="A45" s="42" t="s">
        <v>184</v>
      </c>
      <c r="B45" s="20">
        <v>7599</v>
      </c>
      <c r="C45" s="20">
        <v>0</v>
      </c>
      <c r="D45" s="20">
        <v>7599</v>
      </c>
      <c r="E45" s="20">
        <v>6151</v>
      </c>
      <c r="F45" s="20">
        <v>13750</v>
      </c>
      <c r="G45" s="43">
        <v>13287</v>
      </c>
    </row>
    <row r="46" spans="1:7" x14ac:dyDescent="0.2">
      <c r="A46" s="42" t="s">
        <v>185</v>
      </c>
      <c r="B46" s="20">
        <v>23719</v>
      </c>
      <c r="C46" s="20">
        <v>0</v>
      </c>
      <c r="D46" s="20">
        <v>23720</v>
      </c>
      <c r="E46" s="20">
        <v>19199</v>
      </c>
      <c r="F46" s="20">
        <v>42919</v>
      </c>
      <c r="G46" s="43">
        <v>46754</v>
      </c>
    </row>
    <row r="47" spans="1:7" x14ac:dyDescent="0.2">
      <c r="A47" s="42" t="s">
        <v>186</v>
      </c>
      <c r="B47" s="20">
        <v>6042</v>
      </c>
      <c r="C47" s="20">
        <v>0</v>
      </c>
      <c r="D47" s="20">
        <v>6042</v>
      </c>
      <c r="E47" s="20">
        <v>4891</v>
      </c>
      <c r="F47" s="20">
        <v>10933</v>
      </c>
      <c r="G47" s="43">
        <v>13155</v>
      </c>
    </row>
    <row r="48" spans="1:7" x14ac:dyDescent="0.2">
      <c r="A48" s="42" t="s">
        <v>187</v>
      </c>
      <c r="B48" s="20">
        <v>31980</v>
      </c>
      <c r="C48" s="20">
        <v>0</v>
      </c>
      <c r="D48" s="20">
        <v>31981</v>
      </c>
      <c r="E48" s="20">
        <v>25886</v>
      </c>
      <c r="F48" s="20">
        <v>57867</v>
      </c>
      <c r="G48" s="43">
        <v>64189</v>
      </c>
    </row>
    <row r="49" spans="1:7" x14ac:dyDescent="0.2">
      <c r="A49" s="42" t="s">
        <v>188</v>
      </c>
      <c r="B49" s="20">
        <v>144716</v>
      </c>
      <c r="C49" s="20">
        <v>0</v>
      </c>
      <c r="D49" s="20">
        <v>144722</v>
      </c>
      <c r="E49" s="20">
        <v>117141</v>
      </c>
      <c r="F49" s="20">
        <v>261863</v>
      </c>
      <c r="G49" s="43">
        <v>290288</v>
      </c>
    </row>
    <row r="50" spans="1:7" x14ac:dyDescent="0.2">
      <c r="A50" s="42" t="s">
        <v>189</v>
      </c>
      <c r="B50" s="20">
        <v>16589</v>
      </c>
      <c r="C50" s="20">
        <v>0</v>
      </c>
      <c r="D50" s="20">
        <v>16590</v>
      </c>
      <c r="E50" s="20">
        <v>13428</v>
      </c>
      <c r="F50" s="20">
        <v>30019</v>
      </c>
      <c r="G50" s="43">
        <v>45425</v>
      </c>
    </row>
    <row r="51" spans="1:7" x14ac:dyDescent="0.2">
      <c r="A51" s="42" t="s">
        <v>190</v>
      </c>
      <c r="B51" s="20">
        <v>6460</v>
      </c>
      <c r="C51" s="20">
        <v>0</v>
      </c>
      <c r="D51" s="20">
        <v>6460</v>
      </c>
      <c r="E51" s="20">
        <v>5229</v>
      </c>
      <c r="F51" s="20">
        <v>11690</v>
      </c>
      <c r="G51" s="43">
        <v>13155</v>
      </c>
    </row>
    <row r="52" spans="1:7" x14ac:dyDescent="0.2">
      <c r="A52" s="42" t="s">
        <v>191</v>
      </c>
      <c r="B52" s="20">
        <v>41982</v>
      </c>
      <c r="C52" s="20">
        <v>0</v>
      </c>
      <c r="D52" s="20">
        <v>41984</v>
      </c>
      <c r="E52" s="20">
        <v>33982</v>
      </c>
      <c r="F52" s="20">
        <v>75966</v>
      </c>
      <c r="G52" s="43">
        <v>85184</v>
      </c>
    </row>
    <row r="53" spans="1:7" x14ac:dyDescent="0.2">
      <c r="A53" s="42" t="s">
        <v>192</v>
      </c>
      <c r="B53" s="20">
        <v>37787</v>
      </c>
      <c r="C53" s="20">
        <v>0</v>
      </c>
      <c r="D53" s="20">
        <v>37788</v>
      </c>
      <c r="E53" s="20">
        <v>30586</v>
      </c>
      <c r="F53" s="20">
        <v>68375</v>
      </c>
      <c r="G53" s="43">
        <v>76240</v>
      </c>
    </row>
    <row r="54" spans="1:7" x14ac:dyDescent="0.2">
      <c r="A54" s="42" t="s">
        <v>193</v>
      </c>
      <c r="B54" s="20">
        <v>8433</v>
      </c>
      <c r="C54" s="20">
        <v>0</v>
      </c>
      <c r="D54" s="20">
        <v>8433</v>
      </c>
      <c r="E54" s="20">
        <v>6826</v>
      </c>
      <c r="F54" s="20">
        <v>15260</v>
      </c>
      <c r="G54" s="43">
        <v>14635</v>
      </c>
    </row>
    <row r="55" spans="1:7" x14ac:dyDescent="0.2">
      <c r="A55" s="42" t="s">
        <v>194</v>
      </c>
      <c r="B55" s="20">
        <v>27199</v>
      </c>
      <c r="C55" s="20">
        <v>0</v>
      </c>
      <c r="D55" s="20">
        <v>27201</v>
      </c>
      <c r="E55" s="20">
        <v>22017</v>
      </c>
      <c r="F55" s="20">
        <v>49217</v>
      </c>
      <c r="G55" s="43">
        <v>48711</v>
      </c>
    </row>
    <row r="56" spans="1:7" x14ac:dyDescent="0.2">
      <c r="A56" s="42" t="s">
        <v>195</v>
      </c>
      <c r="B56" s="20">
        <v>4198</v>
      </c>
      <c r="C56" s="20">
        <v>0</v>
      </c>
      <c r="D56" s="20">
        <v>4198</v>
      </c>
      <c r="E56" s="20">
        <v>3398</v>
      </c>
      <c r="F56" s="20">
        <v>7596</v>
      </c>
      <c r="G56" s="43">
        <v>13155</v>
      </c>
    </row>
    <row r="57" spans="1:7" x14ac:dyDescent="0.2">
      <c r="A57" s="42" t="s">
        <v>196</v>
      </c>
      <c r="B57" s="20">
        <v>346</v>
      </c>
      <c r="C57" s="20">
        <v>0</v>
      </c>
      <c r="D57" s="20">
        <v>347</v>
      </c>
      <c r="E57" s="20">
        <v>281</v>
      </c>
      <c r="F57" s="20">
        <v>627</v>
      </c>
      <c r="G57" s="43">
        <v>655</v>
      </c>
    </row>
    <row r="58" spans="1:7" x14ac:dyDescent="0.2">
      <c r="A58" s="42" t="s">
        <v>197</v>
      </c>
      <c r="B58" s="20">
        <v>1124</v>
      </c>
      <c r="C58" s="20">
        <v>0</v>
      </c>
      <c r="D58" s="20">
        <v>1144</v>
      </c>
      <c r="E58" s="20">
        <v>926</v>
      </c>
      <c r="F58" s="20">
        <v>2070</v>
      </c>
      <c r="G58" s="43">
        <v>2198</v>
      </c>
    </row>
    <row r="59" spans="1:7" x14ac:dyDescent="0.2">
      <c r="A59" s="42" t="s">
        <v>198</v>
      </c>
      <c r="B59" s="20">
        <v>351</v>
      </c>
      <c r="C59" s="20">
        <v>0</v>
      </c>
      <c r="D59" s="20">
        <v>355</v>
      </c>
      <c r="E59" s="20">
        <v>287</v>
      </c>
      <c r="F59" s="20">
        <v>642</v>
      </c>
      <c r="G59" s="43">
        <v>676</v>
      </c>
    </row>
    <row r="60" spans="1:7" x14ac:dyDescent="0.2">
      <c r="A60" s="42" t="s">
        <v>199</v>
      </c>
      <c r="B60" s="20">
        <v>22520</v>
      </c>
      <c r="C60" s="20">
        <v>0</v>
      </c>
      <c r="D60" s="20">
        <v>22466</v>
      </c>
      <c r="E60" s="20">
        <v>18183</v>
      </c>
      <c r="F60" s="20">
        <v>40649</v>
      </c>
      <c r="G60" s="43">
        <v>42358</v>
      </c>
    </row>
    <row r="61" spans="1:7" x14ac:dyDescent="0.2">
      <c r="A61" s="42" t="s">
        <v>200</v>
      </c>
      <c r="B61" s="20">
        <v>1345</v>
      </c>
      <c r="C61" s="20">
        <v>0</v>
      </c>
      <c r="D61" s="20">
        <v>1370</v>
      </c>
      <c r="E61" s="20">
        <v>1108</v>
      </c>
      <c r="F61" s="20">
        <v>2478</v>
      </c>
      <c r="G61" s="43">
        <v>2634</v>
      </c>
    </row>
    <row r="62" spans="1:7" x14ac:dyDescent="0.2">
      <c r="A62" s="42" t="s">
        <v>201</v>
      </c>
      <c r="B62" s="20">
        <v>721</v>
      </c>
      <c r="C62" s="20">
        <v>0</v>
      </c>
      <c r="D62" s="20">
        <v>729</v>
      </c>
      <c r="E62" s="20">
        <v>590</v>
      </c>
      <c r="F62" s="20">
        <v>1320</v>
      </c>
      <c r="G62" s="43">
        <v>1394</v>
      </c>
    </row>
    <row r="63" spans="1:7" x14ac:dyDescent="0.2">
      <c r="A63" s="42" t="s">
        <v>202</v>
      </c>
      <c r="B63" s="20" t="s">
        <v>436</v>
      </c>
      <c r="C63" s="20">
        <v>0</v>
      </c>
      <c r="D63" s="20">
        <v>594</v>
      </c>
      <c r="E63" s="20">
        <v>481</v>
      </c>
      <c r="F63" s="20">
        <v>1075</v>
      </c>
      <c r="G63" s="43">
        <v>1194</v>
      </c>
    </row>
    <row r="64" spans="1:7" x14ac:dyDescent="0.2">
      <c r="A64" s="42" t="s">
        <v>203</v>
      </c>
      <c r="B64" s="20">
        <v>0</v>
      </c>
      <c r="C64" s="20">
        <v>0</v>
      </c>
      <c r="D64" s="20">
        <v>0</v>
      </c>
      <c r="E64" s="20">
        <v>0</v>
      </c>
      <c r="F64" s="20">
        <v>0</v>
      </c>
      <c r="G64" s="43">
        <v>0</v>
      </c>
    </row>
    <row r="65" spans="1:7" ht="15" customHeight="1" x14ac:dyDescent="0.2">
      <c r="A65" s="44" t="s">
        <v>204</v>
      </c>
      <c r="B65" s="45">
        <v>1760450</v>
      </c>
      <c r="C65" s="45">
        <v>0</v>
      </c>
      <c r="D65" s="45">
        <v>1760690</v>
      </c>
      <c r="E65" s="45">
        <v>1424998</v>
      </c>
      <c r="F65" s="45">
        <v>3185693</v>
      </c>
      <c r="G65" s="51">
        <v>3327664</v>
      </c>
    </row>
    <row r="66" spans="1:7" ht="15" customHeight="1" x14ac:dyDescent="0.2">
      <c r="A66" s="101" t="s">
        <v>205</v>
      </c>
      <c r="B66" s="101"/>
      <c r="C66" s="101"/>
      <c r="D66" s="101"/>
      <c r="E66" s="101"/>
      <c r="F66" s="101"/>
      <c r="G66" s="101"/>
    </row>
    <row r="67" spans="1:7" ht="15" customHeight="1" x14ac:dyDescent="0.2">
      <c r="A67" s="103" t="s">
        <v>233</v>
      </c>
      <c r="B67" s="103"/>
      <c r="C67" s="103"/>
      <c r="D67" s="103"/>
      <c r="E67" s="103"/>
      <c r="F67" s="103"/>
      <c r="G67" s="103"/>
    </row>
    <row r="68" spans="1:7" ht="15" customHeight="1" x14ac:dyDescent="0.2">
      <c r="A68" s="102" t="s">
        <v>583</v>
      </c>
      <c r="B68" s="103"/>
      <c r="C68" s="103"/>
      <c r="D68" s="103"/>
      <c r="E68" s="103"/>
      <c r="F68" s="103"/>
      <c r="G68" s="103"/>
    </row>
  </sheetData>
  <mergeCells count="7">
    <mergeCell ref="A68:G68"/>
    <mergeCell ref="A4:A5"/>
    <mergeCell ref="B4:B5"/>
    <mergeCell ref="F4:F5"/>
    <mergeCell ref="G4:G5"/>
    <mergeCell ref="A66:G66"/>
    <mergeCell ref="A67:G67"/>
  </mergeCells>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pageSetUpPr fitToPage="1"/>
  </sheetPr>
  <dimension ref="A1:G82"/>
  <sheetViews>
    <sheetView workbookViewId="0"/>
  </sheetViews>
  <sheetFormatPr defaultRowHeight="12.75" x14ac:dyDescent="0.2"/>
  <cols>
    <col min="1" max="1" width="30.7109375" customWidth="1"/>
    <col min="2" max="2" width="32" customWidth="1"/>
    <col min="3" max="7" width="11.7109375" customWidth="1"/>
  </cols>
  <sheetData>
    <row r="1" spans="1:7" ht="38.25" customHeight="1" x14ac:dyDescent="0.2">
      <c r="A1" s="15" t="s">
        <v>234</v>
      </c>
      <c r="B1" s="16"/>
      <c r="C1" s="16"/>
      <c r="D1" s="16"/>
      <c r="E1" s="16"/>
      <c r="F1" s="16"/>
      <c r="G1" s="15" t="s">
        <v>235</v>
      </c>
    </row>
    <row r="2" spans="1:7" x14ac:dyDescent="0.2">
      <c r="A2" s="17" t="s">
        <v>349</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t="s">
        <v>440</v>
      </c>
      <c r="C6" s="20">
        <v>0</v>
      </c>
      <c r="D6" s="20">
        <v>10413</v>
      </c>
      <c r="E6" s="20">
        <v>1637</v>
      </c>
      <c r="F6" s="20">
        <v>12049</v>
      </c>
      <c r="G6" s="43" t="s">
        <v>438</v>
      </c>
    </row>
    <row r="7" spans="1:7" x14ac:dyDescent="0.2">
      <c r="A7" s="42" t="s">
        <v>146</v>
      </c>
      <c r="B7" s="20" t="s">
        <v>441</v>
      </c>
      <c r="C7" s="20">
        <v>0</v>
      </c>
      <c r="D7" s="20">
        <v>7733</v>
      </c>
      <c r="E7" s="20">
        <v>882</v>
      </c>
      <c r="F7" s="20">
        <v>8614</v>
      </c>
      <c r="G7" s="43" t="s">
        <v>438</v>
      </c>
    </row>
    <row r="8" spans="1:7" x14ac:dyDescent="0.2">
      <c r="A8" s="42" t="s">
        <v>147</v>
      </c>
      <c r="B8" s="20" t="s">
        <v>442</v>
      </c>
      <c r="C8" s="20">
        <v>0</v>
      </c>
      <c r="D8" s="20">
        <v>17261</v>
      </c>
      <c r="E8" s="20">
        <v>2087</v>
      </c>
      <c r="F8" s="20">
        <v>19348</v>
      </c>
      <c r="G8" s="43" t="s">
        <v>438</v>
      </c>
    </row>
    <row r="9" spans="1:7" x14ac:dyDescent="0.2">
      <c r="A9" s="42" t="s">
        <v>148</v>
      </c>
      <c r="B9" s="20" t="s">
        <v>443</v>
      </c>
      <c r="C9" s="20">
        <v>0</v>
      </c>
      <c r="D9" s="20">
        <v>9203</v>
      </c>
      <c r="E9" s="20">
        <v>1296</v>
      </c>
      <c r="F9" s="20">
        <v>10499</v>
      </c>
      <c r="G9" s="43" t="s">
        <v>438</v>
      </c>
    </row>
    <row r="10" spans="1:7" ht="15.75" customHeight="1" x14ac:dyDescent="0.2">
      <c r="A10" s="42" t="s">
        <v>149</v>
      </c>
      <c r="B10" s="20" t="s">
        <v>444</v>
      </c>
      <c r="C10" s="20">
        <v>0</v>
      </c>
      <c r="D10" s="20">
        <v>222411</v>
      </c>
      <c r="E10" s="20">
        <v>7842</v>
      </c>
      <c r="F10" s="20">
        <v>230253</v>
      </c>
      <c r="G10" s="43" t="s">
        <v>438</v>
      </c>
    </row>
    <row r="11" spans="1:7" x14ac:dyDescent="0.2">
      <c r="A11" s="42" t="s">
        <v>150</v>
      </c>
      <c r="B11" s="20" t="s">
        <v>445</v>
      </c>
      <c r="C11" s="20">
        <v>0</v>
      </c>
      <c r="D11" s="20">
        <v>14879</v>
      </c>
      <c r="E11" s="20">
        <v>1796</v>
      </c>
      <c r="F11" s="20">
        <v>16676</v>
      </c>
      <c r="G11" s="43" t="s">
        <v>438</v>
      </c>
    </row>
    <row r="12" spans="1:7" x14ac:dyDescent="0.2">
      <c r="A12" s="42" t="s">
        <v>151</v>
      </c>
      <c r="B12" s="20" t="s">
        <v>446</v>
      </c>
      <c r="C12" s="20">
        <v>0</v>
      </c>
      <c r="D12" s="20">
        <v>9540</v>
      </c>
      <c r="E12" s="20">
        <v>1391</v>
      </c>
      <c r="F12" s="20">
        <v>10931</v>
      </c>
      <c r="G12" s="43" t="s">
        <v>438</v>
      </c>
    </row>
    <row r="13" spans="1:7" x14ac:dyDescent="0.2">
      <c r="A13" s="42" t="s">
        <v>152</v>
      </c>
      <c r="B13" s="20" t="s">
        <v>447</v>
      </c>
      <c r="C13" s="20">
        <v>0</v>
      </c>
      <c r="D13" s="20">
        <v>7896</v>
      </c>
      <c r="E13" s="20">
        <v>928</v>
      </c>
      <c r="F13" s="20">
        <v>8824</v>
      </c>
      <c r="G13" s="43" t="s">
        <v>438</v>
      </c>
    </row>
    <row r="14" spans="1:7" x14ac:dyDescent="0.2">
      <c r="A14" s="42" t="s">
        <v>153</v>
      </c>
      <c r="B14" s="20" t="s">
        <v>448</v>
      </c>
      <c r="C14" s="20">
        <v>0</v>
      </c>
      <c r="D14" s="20">
        <v>60149</v>
      </c>
      <c r="E14" s="20">
        <v>878</v>
      </c>
      <c r="F14" s="20">
        <v>61027</v>
      </c>
      <c r="G14" s="43" t="s">
        <v>438</v>
      </c>
    </row>
    <row r="15" spans="1:7" x14ac:dyDescent="0.2">
      <c r="A15" s="42" t="s">
        <v>154</v>
      </c>
      <c r="B15" s="20" t="s">
        <v>449</v>
      </c>
      <c r="C15" s="20">
        <v>5357</v>
      </c>
      <c r="D15" s="20">
        <v>48614</v>
      </c>
      <c r="E15" s="20">
        <v>4665</v>
      </c>
      <c r="F15" s="20">
        <v>53279</v>
      </c>
      <c r="G15" s="43" t="s">
        <v>438</v>
      </c>
    </row>
    <row r="16" spans="1:7" x14ac:dyDescent="0.2">
      <c r="A16" s="42" t="s">
        <v>155</v>
      </c>
      <c r="B16" s="20" t="s">
        <v>450</v>
      </c>
      <c r="C16" s="20">
        <v>0</v>
      </c>
      <c r="D16" s="20">
        <v>21253</v>
      </c>
      <c r="E16" s="20">
        <v>2679</v>
      </c>
      <c r="F16" s="20">
        <v>23933</v>
      </c>
      <c r="G16" s="43" t="s">
        <v>438</v>
      </c>
    </row>
    <row r="17" spans="1:7" x14ac:dyDescent="0.2">
      <c r="A17" s="42" t="s">
        <v>156</v>
      </c>
      <c r="B17" s="20" t="s">
        <v>451</v>
      </c>
      <c r="C17" s="20">
        <v>0</v>
      </c>
      <c r="D17" s="20">
        <v>11965</v>
      </c>
      <c r="E17" s="20">
        <v>1003</v>
      </c>
      <c r="F17" s="20">
        <v>12968</v>
      </c>
      <c r="G17" s="43" t="s">
        <v>438</v>
      </c>
    </row>
    <row r="18" spans="1:7" x14ac:dyDescent="0.2">
      <c r="A18" s="42" t="s">
        <v>157</v>
      </c>
      <c r="B18" s="20" t="s">
        <v>452</v>
      </c>
      <c r="C18" s="20">
        <v>0</v>
      </c>
      <c r="D18" s="20">
        <v>8433</v>
      </c>
      <c r="E18" s="20">
        <v>1079</v>
      </c>
      <c r="F18" s="20">
        <v>9513</v>
      </c>
      <c r="G18" s="43" t="s">
        <v>438</v>
      </c>
    </row>
    <row r="19" spans="1:7" x14ac:dyDescent="0.2">
      <c r="A19" s="42" t="s">
        <v>158</v>
      </c>
      <c r="B19" s="20" t="s">
        <v>453</v>
      </c>
      <c r="C19" s="20">
        <v>0</v>
      </c>
      <c r="D19" s="20">
        <v>93140</v>
      </c>
      <c r="E19" s="20">
        <v>3017</v>
      </c>
      <c r="F19" s="20">
        <v>96158</v>
      </c>
      <c r="G19" s="43" t="s">
        <v>438</v>
      </c>
    </row>
    <row r="20" spans="1:7" x14ac:dyDescent="0.2">
      <c r="A20" s="42" t="s">
        <v>159</v>
      </c>
      <c r="B20" s="20" t="s">
        <v>454</v>
      </c>
      <c r="C20" s="20">
        <v>0</v>
      </c>
      <c r="D20" s="20">
        <v>11585</v>
      </c>
      <c r="E20" s="20">
        <v>1967</v>
      </c>
      <c r="F20" s="20">
        <v>13552</v>
      </c>
      <c r="G20" s="43" t="s">
        <v>438</v>
      </c>
    </row>
    <row r="21" spans="1:7" x14ac:dyDescent="0.2">
      <c r="A21" s="42" t="s">
        <v>160</v>
      </c>
      <c r="B21" s="20" t="s">
        <v>455</v>
      </c>
      <c r="C21" s="20">
        <v>0</v>
      </c>
      <c r="D21" s="20">
        <v>9288</v>
      </c>
      <c r="E21" s="20">
        <v>1320</v>
      </c>
      <c r="F21" s="20">
        <v>10608</v>
      </c>
      <c r="G21" s="43" t="s">
        <v>438</v>
      </c>
    </row>
    <row r="22" spans="1:7" x14ac:dyDescent="0.2">
      <c r="A22" s="42" t="s">
        <v>161</v>
      </c>
      <c r="B22" s="20" t="s">
        <v>456</v>
      </c>
      <c r="C22" s="20">
        <v>0</v>
      </c>
      <c r="D22" s="20">
        <v>9129</v>
      </c>
      <c r="E22" s="20">
        <v>1275</v>
      </c>
      <c r="F22" s="20">
        <v>10403</v>
      </c>
      <c r="G22" s="43" t="s">
        <v>438</v>
      </c>
    </row>
    <row r="23" spans="1:7" x14ac:dyDescent="0.2">
      <c r="A23" s="42" t="s">
        <v>162</v>
      </c>
      <c r="B23" s="20" t="s">
        <v>457</v>
      </c>
      <c r="C23" s="20">
        <v>0</v>
      </c>
      <c r="D23" s="20">
        <v>10128</v>
      </c>
      <c r="E23" s="20">
        <v>1557</v>
      </c>
      <c r="F23" s="20">
        <v>11685</v>
      </c>
      <c r="G23" s="43" t="s">
        <v>438</v>
      </c>
    </row>
    <row r="24" spans="1:7" x14ac:dyDescent="0.2">
      <c r="A24" s="42" t="s">
        <v>163</v>
      </c>
      <c r="B24" s="20" t="s">
        <v>458</v>
      </c>
      <c r="C24" s="20">
        <v>0</v>
      </c>
      <c r="D24" s="20">
        <v>10236</v>
      </c>
      <c r="E24" s="20">
        <v>1587</v>
      </c>
      <c r="F24" s="20">
        <v>11823</v>
      </c>
      <c r="G24" s="43" t="s">
        <v>438</v>
      </c>
    </row>
    <row r="25" spans="1:7" x14ac:dyDescent="0.2">
      <c r="A25" s="42" t="s">
        <v>164</v>
      </c>
      <c r="B25" s="20" t="s">
        <v>459</v>
      </c>
      <c r="C25" s="20">
        <v>0</v>
      </c>
      <c r="D25" s="20">
        <v>8128</v>
      </c>
      <c r="E25" s="20">
        <v>993</v>
      </c>
      <c r="F25" s="20">
        <v>9122</v>
      </c>
      <c r="G25" s="43" t="s">
        <v>438</v>
      </c>
    </row>
    <row r="26" spans="1:7" x14ac:dyDescent="0.2">
      <c r="A26" s="42" t="s">
        <v>165</v>
      </c>
      <c r="B26" s="20" t="s">
        <v>460</v>
      </c>
      <c r="C26" s="20">
        <v>0</v>
      </c>
      <c r="D26" s="20">
        <v>18131</v>
      </c>
      <c r="E26" s="20">
        <v>1841</v>
      </c>
      <c r="F26" s="20">
        <v>19972</v>
      </c>
      <c r="G26" s="43" t="s">
        <v>438</v>
      </c>
    </row>
    <row r="27" spans="1:7" x14ac:dyDescent="0.2">
      <c r="A27" s="42" t="s">
        <v>166</v>
      </c>
      <c r="B27" s="20" t="s">
        <v>461</v>
      </c>
      <c r="C27" s="20">
        <v>0</v>
      </c>
      <c r="D27" s="20">
        <v>30399</v>
      </c>
      <c r="E27" s="20">
        <v>1992</v>
      </c>
      <c r="F27" s="20">
        <v>32391</v>
      </c>
      <c r="G27" s="43" t="s">
        <v>438</v>
      </c>
    </row>
    <row r="28" spans="1:7" x14ac:dyDescent="0.2">
      <c r="A28" s="42" t="s">
        <v>167</v>
      </c>
      <c r="B28" s="20" t="s">
        <v>462</v>
      </c>
      <c r="C28" s="20">
        <v>0</v>
      </c>
      <c r="D28" s="20">
        <v>19567</v>
      </c>
      <c r="E28" s="20">
        <v>2546</v>
      </c>
      <c r="F28" s="20">
        <v>22112</v>
      </c>
      <c r="G28" s="43" t="s">
        <v>438</v>
      </c>
    </row>
    <row r="29" spans="1:7" x14ac:dyDescent="0.2">
      <c r="A29" s="42" t="s">
        <v>168</v>
      </c>
      <c r="B29" s="20" t="s">
        <v>463</v>
      </c>
      <c r="C29" s="20">
        <v>0</v>
      </c>
      <c r="D29" s="20">
        <v>16133</v>
      </c>
      <c r="E29" s="20">
        <v>1769</v>
      </c>
      <c r="F29" s="20">
        <v>17902</v>
      </c>
      <c r="G29" s="43" t="s">
        <v>438</v>
      </c>
    </row>
    <row r="30" spans="1:7" x14ac:dyDescent="0.2">
      <c r="A30" s="42" t="s">
        <v>169</v>
      </c>
      <c r="B30" s="20" t="s">
        <v>464</v>
      </c>
      <c r="C30" s="20">
        <v>0</v>
      </c>
      <c r="D30" s="20">
        <v>9162</v>
      </c>
      <c r="E30" s="20">
        <v>1284</v>
      </c>
      <c r="F30" s="20">
        <v>10447</v>
      </c>
      <c r="G30" s="43" t="s">
        <v>438</v>
      </c>
    </row>
    <row r="31" spans="1:7" x14ac:dyDescent="0.2">
      <c r="A31" s="42" t="s">
        <v>170</v>
      </c>
      <c r="B31" s="20" t="s">
        <v>465</v>
      </c>
      <c r="C31" s="20">
        <v>0</v>
      </c>
      <c r="D31" s="20">
        <v>14999</v>
      </c>
      <c r="E31" s="20">
        <v>1858</v>
      </c>
      <c r="F31" s="20">
        <v>16857</v>
      </c>
      <c r="G31" s="43" t="s">
        <v>438</v>
      </c>
    </row>
    <row r="32" spans="1:7" x14ac:dyDescent="0.2">
      <c r="A32" s="42" t="s">
        <v>171</v>
      </c>
      <c r="B32" s="20" t="s">
        <v>466</v>
      </c>
      <c r="C32" s="20">
        <v>0</v>
      </c>
      <c r="D32" s="20">
        <v>7956</v>
      </c>
      <c r="E32" s="20">
        <v>945</v>
      </c>
      <c r="F32" s="20">
        <v>8901</v>
      </c>
      <c r="G32" s="43" t="s">
        <v>438</v>
      </c>
    </row>
    <row r="33" spans="1:7" x14ac:dyDescent="0.2">
      <c r="A33" s="42" t="s">
        <v>172</v>
      </c>
      <c r="B33" s="20" t="s">
        <v>467</v>
      </c>
      <c r="C33" s="20">
        <v>0</v>
      </c>
      <c r="D33" s="20">
        <v>8504</v>
      </c>
      <c r="E33" s="20">
        <v>1099</v>
      </c>
      <c r="F33" s="20">
        <v>9603</v>
      </c>
      <c r="G33" s="43" t="s">
        <v>438</v>
      </c>
    </row>
    <row r="34" spans="1:7" x14ac:dyDescent="0.2">
      <c r="A34" s="42" t="s">
        <v>173</v>
      </c>
      <c r="B34" s="20" t="s">
        <v>468</v>
      </c>
      <c r="C34" s="20">
        <v>0</v>
      </c>
      <c r="D34" s="20">
        <v>14522</v>
      </c>
      <c r="E34" s="20">
        <v>1315</v>
      </c>
      <c r="F34" s="20">
        <v>15837</v>
      </c>
      <c r="G34" s="43" t="s">
        <v>438</v>
      </c>
    </row>
    <row r="35" spans="1:7" x14ac:dyDescent="0.2">
      <c r="A35" s="42" t="s">
        <v>174</v>
      </c>
      <c r="B35" s="20" t="s">
        <v>469</v>
      </c>
      <c r="C35" s="20">
        <v>0</v>
      </c>
      <c r="D35" s="20">
        <v>8139</v>
      </c>
      <c r="E35" s="20">
        <v>996</v>
      </c>
      <c r="F35" s="20">
        <v>9135</v>
      </c>
      <c r="G35" s="43" t="s">
        <v>438</v>
      </c>
    </row>
    <row r="36" spans="1:7" x14ac:dyDescent="0.2">
      <c r="A36" s="42" t="s">
        <v>175</v>
      </c>
      <c r="B36" s="20" t="s">
        <v>470</v>
      </c>
      <c r="C36" s="20">
        <v>866</v>
      </c>
      <c r="D36" s="20">
        <v>34739</v>
      </c>
      <c r="E36" s="20">
        <v>2350</v>
      </c>
      <c r="F36" s="20">
        <v>37089</v>
      </c>
      <c r="G36" s="43" t="s">
        <v>438</v>
      </c>
    </row>
    <row r="37" spans="1:7" x14ac:dyDescent="0.2">
      <c r="A37" s="42" t="s">
        <v>176</v>
      </c>
      <c r="B37" s="20" t="s">
        <v>471</v>
      </c>
      <c r="C37" s="20">
        <v>0</v>
      </c>
      <c r="D37" s="20">
        <v>8612</v>
      </c>
      <c r="E37" s="20">
        <v>1129</v>
      </c>
      <c r="F37" s="20">
        <v>9742</v>
      </c>
      <c r="G37" s="43" t="s">
        <v>438</v>
      </c>
    </row>
    <row r="38" spans="1:7" x14ac:dyDescent="0.2">
      <c r="A38" s="42" t="s">
        <v>177</v>
      </c>
      <c r="B38" s="20" t="s">
        <v>472</v>
      </c>
      <c r="C38" s="20">
        <v>29624</v>
      </c>
      <c r="D38" s="20">
        <v>264419</v>
      </c>
      <c r="E38" s="20">
        <v>4234</v>
      </c>
      <c r="F38" s="20">
        <v>268653</v>
      </c>
      <c r="G38" s="43" t="s">
        <v>438</v>
      </c>
    </row>
    <row r="39" spans="1:7" x14ac:dyDescent="0.2">
      <c r="A39" s="42" t="s">
        <v>178</v>
      </c>
      <c r="B39" s="20" t="s">
        <v>473</v>
      </c>
      <c r="C39" s="20">
        <v>0</v>
      </c>
      <c r="D39" s="20">
        <v>18522</v>
      </c>
      <c r="E39" s="20">
        <v>2660</v>
      </c>
      <c r="F39" s="20">
        <v>21182</v>
      </c>
      <c r="G39" s="43" t="s">
        <v>438</v>
      </c>
    </row>
    <row r="40" spans="1:7" x14ac:dyDescent="0.2">
      <c r="A40" s="42" t="s">
        <v>179</v>
      </c>
      <c r="B40" s="20" t="s">
        <v>474</v>
      </c>
      <c r="C40" s="20">
        <v>0</v>
      </c>
      <c r="D40" s="20">
        <v>7754</v>
      </c>
      <c r="E40" s="20">
        <v>888</v>
      </c>
      <c r="F40" s="20">
        <v>8642</v>
      </c>
      <c r="G40" s="43" t="s">
        <v>438</v>
      </c>
    </row>
    <row r="41" spans="1:7" x14ac:dyDescent="0.2">
      <c r="A41" s="42" t="s">
        <v>180</v>
      </c>
      <c r="B41" s="20" t="s">
        <v>475</v>
      </c>
      <c r="C41" s="20">
        <v>0</v>
      </c>
      <c r="D41" s="20">
        <v>16569</v>
      </c>
      <c r="E41" s="20">
        <v>2857</v>
      </c>
      <c r="F41" s="20">
        <v>19426</v>
      </c>
      <c r="G41" s="43" t="s">
        <v>438</v>
      </c>
    </row>
    <row r="42" spans="1:7" x14ac:dyDescent="0.2">
      <c r="A42" s="42" t="s">
        <v>181</v>
      </c>
      <c r="B42" s="20" t="s">
        <v>476</v>
      </c>
      <c r="C42" s="20">
        <v>0</v>
      </c>
      <c r="D42" s="20">
        <v>9811</v>
      </c>
      <c r="E42" s="20">
        <v>1467</v>
      </c>
      <c r="F42" s="20">
        <v>11278</v>
      </c>
      <c r="G42" s="43" t="s">
        <v>438</v>
      </c>
    </row>
    <row r="43" spans="1:7" x14ac:dyDescent="0.2">
      <c r="A43" s="42" t="s">
        <v>182</v>
      </c>
      <c r="B43" s="20" t="s">
        <v>477</v>
      </c>
      <c r="C43" s="20">
        <v>0</v>
      </c>
      <c r="D43" s="20">
        <v>13778</v>
      </c>
      <c r="E43" s="20">
        <v>1514</v>
      </c>
      <c r="F43" s="20">
        <v>15292</v>
      </c>
      <c r="G43" s="43" t="s">
        <v>438</v>
      </c>
    </row>
    <row r="44" spans="1:7" x14ac:dyDescent="0.2">
      <c r="A44" s="42" t="s">
        <v>183</v>
      </c>
      <c r="B44" s="20" t="s">
        <v>478</v>
      </c>
      <c r="C44" s="20">
        <v>0</v>
      </c>
      <c r="D44" s="20">
        <v>36186</v>
      </c>
      <c r="E44" s="20">
        <v>3053</v>
      </c>
      <c r="F44" s="20">
        <v>39239</v>
      </c>
      <c r="G44" s="43" t="s">
        <v>438</v>
      </c>
    </row>
    <row r="45" spans="1:7" x14ac:dyDescent="0.2">
      <c r="A45" s="42" t="s">
        <v>184</v>
      </c>
      <c r="B45" s="20" t="s">
        <v>479</v>
      </c>
      <c r="C45" s="20">
        <v>0</v>
      </c>
      <c r="D45" s="20">
        <v>7941</v>
      </c>
      <c r="E45" s="20">
        <v>940</v>
      </c>
      <c r="F45" s="20">
        <v>8882</v>
      </c>
      <c r="G45" s="43" t="s">
        <v>438</v>
      </c>
    </row>
    <row r="46" spans="1:7" x14ac:dyDescent="0.2">
      <c r="A46" s="42" t="s">
        <v>185</v>
      </c>
      <c r="B46" s="20" t="s">
        <v>480</v>
      </c>
      <c r="C46" s="20">
        <v>0</v>
      </c>
      <c r="D46" s="20">
        <v>10602</v>
      </c>
      <c r="E46" s="20">
        <v>1690</v>
      </c>
      <c r="F46" s="20">
        <v>12292</v>
      </c>
      <c r="G46" s="43" t="s">
        <v>438</v>
      </c>
    </row>
    <row r="47" spans="1:7" x14ac:dyDescent="0.2">
      <c r="A47" s="42" t="s">
        <v>186</v>
      </c>
      <c r="B47" s="20" t="s">
        <v>481</v>
      </c>
      <c r="C47" s="20">
        <v>0</v>
      </c>
      <c r="D47" s="20">
        <v>7836</v>
      </c>
      <c r="E47" s="20">
        <v>911</v>
      </c>
      <c r="F47" s="20">
        <v>8747</v>
      </c>
      <c r="G47" s="43" t="s">
        <v>438</v>
      </c>
    </row>
    <row r="48" spans="1:7" x14ac:dyDescent="0.2">
      <c r="A48" s="42" t="s">
        <v>187</v>
      </c>
      <c r="B48" s="20" t="s">
        <v>482</v>
      </c>
      <c r="C48" s="20">
        <v>0</v>
      </c>
      <c r="D48" s="20">
        <v>11669</v>
      </c>
      <c r="E48" s="20">
        <v>1991</v>
      </c>
      <c r="F48" s="20">
        <v>13660</v>
      </c>
      <c r="G48" s="43" t="s">
        <v>438</v>
      </c>
    </row>
    <row r="49" spans="1:7" x14ac:dyDescent="0.2">
      <c r="A49" s="42" t="s">
        <v>188</v>
      </c>
      <c r="B49" s="20" t="s">
        <v>483</v>
      </c>
      <c r="C49" s="20">
        <v>0</v>
      </c>
      <c r="D49" s="20">
        <v>85648</v>
      </c>
      <c r="E49" s="20">
        <v>6039</v>
      </c>
      <c r="F49" s="20">
        <v>91688</v>
      </c>
      <c r="G49" s="43" t="s">
        <v>438</v>
      </c>
    </row>
    <row r="50" spans="1:7" x14ac:dyDescent="0.2">
      <c r="A50" s="42" t="s">
        <v>189</v>
      </c>
      <c r="B50" s="20" t="s">
        <v>484</v>
      </c>
      <c r="C50" s="20">
        <v>0</v>
      </c>
      <c r="D50" s="20">
        <v>9343</v>
      </c>
      <c r="E50" s="20">
        <v>1335</v>
      </c>
      <c r="F50" s="20">
        <v>10679</v>
      </c>
      <c r="G50" s="43" t="s">
        <v>438</v>
      </c>
    </row>
    <row r="51" spans="1:7" x14ac:dyDescent="0.2">
      <c r="A51" s="42" t="s">
        <v>190</v>
      </c>
      <c r="B51" s="20" t="s">
        <v>485</v>
      </c>
      <c r="C51" s="20">
        <v>0</v>
      </c>
      <c r="D51" s="20">
        <v>7664</v>
      </c>
      <c r="E51" s="20">
        <v>862</v>
      </c>
      <c r="F51" s="20">
        <v>8526</v>
      </c>
      <c r="G51" s="43" t="s">
        <v>438</v>
      </c>
    </row>
    <row r="52" spans="1:7" x14ac:dyDescent="0.2">
      <c r="A52" s="42" t="s">
        <v>191</v>
      </c>
      <c r="B52" s="20" t="s">
        <v>486</v>
      </c>
      <c r="C52" s="20">
        <v>0</v>
      </c>
      <c r="D52" s="20">
        <v>2007</v>
      </c>
      <c r="E52" s="20">
        <v>2298</v>
      </c>
      <c r="F52" s="20">
        <v>4305</v>
      </c>
      <c r="G52" s="43" t="s">
        <v>438</v>
      </c>
    </row>
    <row r="53" spans="1:7" x14ac:dyDescent="0.2">
      <c r="A53" s="42" t="s">
        <v>192</v>
      </c>
      <c r="B53" s="20" t="s">
        <v>487</v>
      </c>
      <c r="C53" s="20">
        <v>0</v>
      </c>
      <c r="D53" s="20">
        <v>20261</v>
      </c>
      <c r="E53" s="20">
        <v>2136</v>
      </c>
      <c r="F53" s="20">
        <v>22397</v>
      </c>
      <c r="G53" s="43" t="s">
        <v>438</v>
      </c>
    </row>
    <row r="54" spans="1:7" x14ac:dyDescent="0.2">
      <c r="A54" s="42" t="s">
        <v>193</v>
      </c>
      <c r="B54" s="20" t="s">
        <v>488</v>
      </c>
      <c r="C54" s="20">
        <v>0</v>
      </c>
      <c r="D54" s="20">
        <v>8406</v>
      </c>
      <c r="E54" s="20">
        <v>1072</v>
      </c>
      <c r="F54" s="20">
        <v>9478</v>
      </c>
      <c r="G54" s="43" t="s">
        <v>438</v>
      </c>
    </row>
    <row r="55" spans="1:7" x14ac:dyDescent="0.2">
      <c r="A55" s="42" t="s">
        <v>194</v>
      </c>
      <c r="B55" s="20" t="s">
        <v>489</v>
      </c>
      <c r="C55" s="20">
        <v>0</v>
      </c>
      <c r="D55" s="20">
        <v>10995</v>
      </c>
      <c r="E55" s="20">
        <v>1801</v>
      </c>
      <c r="F55" s="20">
        <v>12796</v>
      </c>
      <c r="G55" s="43" t="s">
        <v>438</v>
      </c>
    </row>
    <row r="56" spans="1:7" x14ac:dyDescent="0.2">
      <c r="A56" s="42" t="s">
        <v>195</v>
      </c>
      <c r="B56" s="20" t="s">
        <v>490</v>
      </c>
      <c r="C56" s="20">
        <v>0</v>
      </c>
      <c r="D56" s="20">
        <v>7637</v>
      </c>
      <c r="E56" s="20">
        <v>855</v>
      </c>
      <c r="F56" s="20">
        <v>8492</v>
      </c>
      <c r="G56" s="43" t="s">
        <v>438</v>
      </c>
    </row>
    <row r="57" spans="1:7" x14ac:dyDescent="0.2">
      <c r="A57" s="42" t="s">
        <v>196</v>
      </c>
      <c r="B57" s="20" t="s">
        <v>491</v>
      </c>
      <c r="C57" s="20">
        <v>0</v>
      </c>
      <c r="D57" s="20">
        <v>1970</v>
      </c>
      <c r="E57" s="20">
        <v>259</v>
      </c>
      <c r="F57" s="20">
        <v>2228</v>
      </c>
      <c r="G57" s="43" t="s">
        <v>438</v>
      </c>
    </row>
    <row r="58" spans="1:7" x14ac:dyDescent="0.2">
      <c r="A58" s="42" t="s">
        <v>197</v>
      </c>
      <c r="B58" s="20" t="s">
        <v>492</v>
      </c>
      <c r="C58" s="20">
        <v>0</v>
      </c>
      <c r="D58" s="20">
        <v>2047</v>
      </c>
      <c r="E58" s="20">
        <v>280</v>
      </c>
      <c r="F58" s="20">
        <v>2328</v>
      </c>
      <c r="G58" s="43" t="s">
        <v>438</v>
      </c>
    </row>
    <row r="59" spans="1:7" x14ac:dyDescent="0.2">
      <c r="A59" s="42" t="s">
        <v>198</v>
      </c>
      <c r="B59" s="20" t="s">
        <v>493</v>
      </c>
      <c r="C59" s="20">
        <v>0</v>
      </c>
      <c r="D59" s="20">
        <v>1973</v>
      </c>
      <c r="E59" s="20">
        <v>259</v>
      </c>
      <c r="F59" s="20">
        <v>2232</v>
      </c>
      <c r="G59" s="43" t="s">
        <v>438</v>
      </c>
    </row>
    <row r="60" spans="1:7" x14ac:dyDescent="0.2">
      <c r="A60" s="42" t="s">
        <v>199</v>
      </c>
      <c r="B60" s="20" t="s">
        <v>494</v>
      </c>
      <c r="C60" s="20">
        <v>0</v>
      </c>
      <c r="D60" s="20">
        <v>9305</v>
      </c>
      <c r="E60" s="20">
        <v>1325</v>
      </c>
      <c r="F60" s="20">
        <v>10630</v>
      </c>
      <c r="G60" s="43" t="s">
        <v>438</v>
      </c>
    </row>
    <row r="61" spans="1:7" x14ac:dyDescent="0.2">
      <c r="A61" s="42" t="s">
        <v>200</v>
      </c>
      <c r="B61" s="20" t="s">
        <v>439</v>
      </c>
      <c r="C61" s="20">
        <v>0</v>
      </c>
      <c r="D61" s="20">
        <v>100</v>
      </c>
      <c r="E61" s="20">
        <v>0</v>
      </c>
      <c r="F61" s="20">
        <v>100</v>
      </c>
      <c r="G61" s="43" t="s">
        <v>438</v>
      </c>
    </row>
    <row r="62" spans="1:7" x14ac:dyDescent="0.2">
      <c r="A62" s="42" t="s">
        <v>201</v>
      </c>
      <c r="B62" s="20" t="s">
        <v>495</v>
      </c>
      <c r="C62" s="20">
        <v>0</v>
      </c>
      <c r="D62" s="20">
        <v>20405</v>
      </c>
      <c r="E62" s="20">
        <v>269</v>
      </c>
      <c r="F62" s="20">
        <v>20674</v>
      </c>
      <c r="G62" s="43" t="s">
        <v>438</v>
      </c>
    </row>
    <row r="63" spans="1:7" x14ac:dyDescent="0.2">
      <c r="A63" s="42" t="s">
        <v>202</v>
      </c>
      <c r="B63" s="20">
        <v>0</v>
      </c>
      <c r="C63" s="20">
        <v>0</v>
      </c>
      <c r="D63" s="20">
        <v>0</v>
      </c>
      <c r="E63" s="20">
        <v>0</v>
      </c>
      <c r="F63" s="20">
        <v>0</v>
      </c>
      <c r="G63" s="43" t="s">
        <v>438</v>
      </c>
    </row>
    <row r="64" spans="1:7" x14ac:dyDescent="0.2">
      <c r="A64" s="42" t="s">
        <v>203</v>
      </c>
      <c r="B64" s="20">
        <v>0</v>
      </c>
      <c r="C64" s="20">
        <v>754733</v>
      </c>
      <c r="D64" s="20">
        <v>0</v>
      </c>
      <c r="E64" s="20">
        <v>0</v>
      </c>
      <c r="F64" s="20">
        <v>0</v>
      </c>
      <c r="G64" s="43" t="s">
        <v>438</v>
      </c>
    </row>
    <row r="65" spans="1:7" ht="15" customHeight="1" x14ac:dyDescent="0.2">
      <c r="A65" s="44" t="s">
        <v>204</v>
      </c>
      <c r="B65" s="45">
        <v>2931915</v>
      </c>
      <c r="C65" s="45">
        <v>790580</v>
      </c>
      <c r="D65" s="45">
        <v>1385095</v>
      </c>
      <c r="E65" s="45">
        <v>99998</v>
      </c>
      <c r="F65" s="45">
        <v>1485099</v>
      </c>
      <c r="G65" s="46">
        <v>0</v>
      </c>
    </row>
    <row r="66" spans="1:7" ht="15" customHeight="1" x14ac:dyDescent="0.2">
      <c r="A66" s="101" t="s">
        <v>205</v>
      </c>
      <c r="B66" s="101"/>
      <c r="C66" s="101"/>
      <c r="D66" s="101"/>
      <c r="E66" s="101"/>
      <c r="F66" s="101"/>
      <c r="G66" s="101"/>
    </row>
    <row r="67" spans="1:7" s="32" customFormat="1" ht="15" customHeight="1" x14ac:dyDescent="0.2">
      <c r="A67" s="102" t="s">
        <v>594</v>
      </c>
      <c r="B67" s="103"/>
      <c r="C67" s="103"/>
      <c r="D67" s="103"/>
      <c r="E67" s="103"/>
      <c r="F67" s="103"/>
      <c r="G67" s="103"/>
    </row>
    <row r="68" spans="1:7" ht="15" customHeight="1" x14ac:dyDescent="0.2">
      <c r="A68" s="102" t="s">
        <v>595</v>
      </c>
      <c r="B68" s="102"/>
      <c r="C68" s="102"/>
      <c r="D68" s="102"/>
      <c r="E68" s="102"/>
      <c r="F68" s="102"/>
      <c r="G68" s="102"/>
    </row>
    <row r="69" spans="1:7" ht="15" customHeight="1" x14ac:dyDescent="0.2">
      <c r="A69" s="102" t="s">
        <v>596</v>
      </c>
      <c r="B69" s="102"/>
      <c r="C69" s="102"/>
      <c r="D69" s="102"/>
      <c r="E69" s="102"/>
      <c r="F69" s="102"/>
      <c r="G69" s="102"/>
    </row>
    <row r="70" spans="1:7" ht="15" customHeight="1" x14ac:dyDescent="0.2">
      <c r="A70" s="103" t="s">
        <v>236</v>
      </c>
      <c r="B70" s="103"/>
      <c r="C70" s="103"/>
      <c r="D70" s="103"/>
      <c r="E70" s="103"/>
      <c r="F70" s="103"/>
      <c r="G70" s="103"/>
    </row>
    <row r="71" spans="1:7" ht="15" customHeight="1" x14ac:dyDescent="0.2">
      <c r="A71" s="102" t="s">
        <v>597</v>
      </c>
      <c r="B71" s="102"/>
      <c r="C71" s="102"/>
      <c r="D71" s="102"/>
      <c r="E71" s="102"/>
      <c r="F71" s="102"/>
      <c r="G71" s="102"/>
    </row>
    <row r="72" spans="1:7" ht="15" customHeight="1" x14ac:dyDescent="0.2">
      <c r="A72" s="102" t="s">
        <v>598</v>
      </c>
      <c r="B72" s="102"/>
      <c r="C72" s="102"/>
      <c r="D72" s="102"/>
      <c r="E72" s="102"/>
      <c r="F72" s="102"/>
      <c r="G72" s="102"/>
    </row>
    <row r="73" spans="1:7" ht="15" customHeight="1" x14ac:dyDescent="0.2">
      <c r="A73" s="102" t="s">
        <v>599</v>
      </c>
      <c r="B73" s="102"/>
      <c r="C73" s="102"/>
      <c r="D73" s="102"/>
      <c r="E73" s="102"/>
      <c r="F73" s="102"/>
      <c r="G73" s="102"/>
    </row>
    <row r="74" spans="1:7" ht="15" customHeight="1" x14ac:dyDescent="0.2">
      <c r="A74" s="102" t="s">
        <v>600</v>
      </c>
      <c r="B74" s="102"/>
      <c r="C74" s="102"/>
      <c r="D74" s="102"/>
      <c r="E74" s="102"/>
      <c r="F74" s="102"/>
      <c r="G74" s="102"/>
    </row>
    <row r="75" spans="1:7" ht="15" customHeight="1" x14ac:dyDescent="0.2">
      <c r="A75" s="102" t="s">
        <v>601</v>
      </c>
      <c r="B75" s="102"/>
      <c r="C75" s="102"/>
      <c r="D75" s="102"/>
      <c r="E75" s="102"/>
      <c r="F75" s="102"/>
      <c r="G75" s="102"/>
    </row>
    <row r="76" spans="1:7" ht="15" customHeight="1" x14ac:dyDescent="0.2">
      <c r="A76" s="102" t="s">
        <v>602</v>
      </c>
      <c r="B76" s="102"/>
      <c r="C76" s="102"/>
      <c r="D76" s="102"/>
      <c r="E76" s="102"/>
      <c r="F76" s="102"/>
      <c r="G76" s="102"/>
    </row>
    <row r="77" spans="1:7" ht="15" customHeight="1" x14ac:dyDescent="0.2">
      <c r="A77" s="102" t="s">
        <v>603</v>
      </c>
      <c r="B77" s="102"/>
      <c r="C77" s="102"/>
      <c r="D77" s="102"/>
      <c r="E77" s="102"/>
      <c r="F77" s="102"/>
      <c r="G77" s="102"/>
    </row>
    <row r="78" spans="1:7" ht="15" customHeight="1" x14ac:dyDescent="0.2">
      <c r="A78" s="102" t="s">
        <v>604</v>
      </c>
      <c r="B78" s="102"/>
      <c r="C78" s="102"/>
      <c r="D78" s="102"/>
      <c r="E78" s="102"/>
      <c r="F78" s="102"/>
      <c r="G78" s="102"/>
    </row>
    <row r="79" spans="1:7" ht="15" customHeight="1" x14ac:dyDescent="0.2">
      <c r="A79" s="102" t="s">
        <v>605</v>
      </c>
      <c r="B79" s="102"/>
      <c r="C79" s="102"/>
      <c r="D79" s="102"/>
      <c r="E79" s="102"/>
      <c r="F79" s="102"/>
      <c r="G79" s="102"/>
    </row>
    <row r="80" spans="1:7" ht="15" customHeight="1" x14ac:dyDescent="0.2">
      <c r="A80" s="102" t="s">
        <v>606</v>
      </c>
      <c r="B80" s="102"/>
      <c r="C80" s="102"/>
      <c r="D80" s="102"/>
      <c r="E80" s="102"/>
      <c r="F80" s="102"/>
      <c r="G80" s="102"/>
    </row>
    <row r="81" spans="1:7" ht="15" customHeight="1" x14ac:dyDescent="0.2">
      <c r="A81" s="103" t="s">
        <v>437</v>
      </c>
      <c r="B81" s="103"/>
      <c r="C81" s="103"/>
      <c r="D81" s="103"/>
      <c r="E81" s="103"/>
      <c r="F81" s="103"/>
      <c r="G81" s="103"/>
    </row>
    <row r="82" spans="1:7" ht="15" customHeight="1" x14ac:dyDescent="0.2">
      <c r="A82" s="102" t="s">
        <v>583</v>
      </c>
      <c r="B82" s="103"/>
      <c r="C82" s="103"/>
      <c r="D82" s="103"/>
      <c r="E82" s="103"/>
      <c r="F82" s="103"/>
      <c r="G82" s="103"/>
    </row>
  </sheetData>
  <mergeCells count="21">
    <mergeCell ref="A81:G81"/>
    <mergeCell ref="A82:G82"/>
    <mergeCell ref="A76:G76"/>
    <mergeCell ref="A77:G77"/>
    <mergeCell ref="A78:G78"/>
    <mergeCell ref="A79:G79"/>
    <mergeCell ref="A80:G80"/>
    <mergeCell ref="A75:G75"/>
    <mergeCell ref="A4:A5"/>
    <mergeCell ref="B4:B5"/>
    <mergeCell ref="F4:F5"/>
    <mergeCell ref="G4:G5"/>
    <mergeCell ref="A66:G66"/>
    <mergeCell ref="A68:G68"/>
    <mergeCell ref="A67:G67"/>
    <mergeCell ref="A69:G69"/>
    <mergeCell ref="A71:G71"/>
    <mergeCell ref="A72:G72"/>
    <mergeCell ref="A73:G73"/>
    <mergeCell ref="A74:G74"/>
    <mergeCell ref="A70:G70"/>
  </mergeCells>
  <pageMargins left="0.7" right="0.7" top="0.75" bottom="0.75" header="0.3" footer="0.3"/>
  <pageSetup orientation="portrait" horizontalDpi="1200" verticalDpi="1200"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pageSetUpPr fitToPage="1"/>
  </sheetPr>
  <dimension ref="A1:G66"/>
  <sheetViews>
    <sheetView zoomScaleNormal="100" workbookViewId="0"/>
  </sheetViews>
  <sheetFormatPr defaultRowHeight="12.75" x14ac:dyDescent="0.2"/>
  <cols>
    <col min="1" max="1" width="30.7109375" customWidth="1"/>
    <col min="2" max="7" width="11.7109375" customWidth="1"/>
  </cols>
  <sheetData>
    <row r="1" spans="1:7" ht="38.25" customHeight="1" x14ac:dyDescent="0.2">
      <c r="A1" s="15" t="s">
        <v>237</v>
      </c>
      <c r="B1" s="16"/>
      <c r="C1" s="16"/>
      <c r="D1" s="16"/>
      <c r="E1" s="16"/>
      <c r="F1" s="16"/>
      <c r="G1" s="15" t="s">
        <v>238</v>
      </c>
    </row>
    <row r="2" spans="1:7" x14ac:dyDescent="0.2">
      <c r="A2" s="17" t="s">
        <v>350</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39451</v>
      </c>
      <c r="C6" s="20">
        <v>5766</v>
      </c>
      <c r="D6" s="20">
        <v>18082</v>
      </c>
      <c r="E6" s="20">
        <v>0</v>
      </c>
      <c r="F6" s="20">
        <v>23847</v>
      </c>
      <c r="G6" s="43">
        <v>38335</v>
      </c>
    </row>
    <row r="7" spans="1:7" x14ac:dyDescent="0.2">
      <c r="A7" s="42" t="s">
        <v>146</v>
      </c>
      <c r="B7" s="20">
        <v>4878</v>
      </c>
      <c r="C7" s="20">
        <v>1821</v>
      </c>
      <c r="D7" s="20">
        <v>2103</v>
      </c>
      <c r="E7" s="20">
        <v>0</v>
      </c>
      <c r="F7" s="20">
        <v>3925</v>
      </c>
      <c r="G7" s="43">
        <v>4459</v>
      </c>
    </row>
    <row r="8" spans="1:7" x14ac:dyDescent="0.2">
      <c r="A8" s="42" t="s">
        <v>147</v>
      </c>
      <c r="B8" s="20">
        <v>20105</v>
      </c>
      <c r="C8" s="20">
        <v>47053</v>
      </c>
      <c r="D8" s="20">
        <v>23020</v>
      </c>
      <c r="E8" s="20">
        <v>0</v>
      </c>
      <c r="F8" s="20">
        <v>70073</v>
      </c>
      <c r="G8" s="43">
        <v>48805</v>
      </c>
    </row>
    <row r="9" spans="1:7" x14ac:dyDescent="0.2">
      <c r="A9" s="42" t="s">
        <v>148</v>
      </c>
      <c r="B9" s="20">
        <v>26539</v>
      </c>
      <c r="C9" s="20">
        <v>1566</v>
      </c>
      <c r="D9" s="20">
        <v>10775</v>
      </c>
      <c r="E9" s="20">
        <v>0</v>
      </c>
      <c r="F9" s="20">
        <v>12341</v>
      </c>
      <c r="G9" s="43">
        <v>22844</v>
      </c>
    </row>
    <row r="10" spans="1:7" x14ac:dyDescent="0.2">
      <c r="A10" s="42" t="s">
        <v>149</v>
      </c>
      <c r="B10" s="20">
        <v>324115</v>
      </c>
      <c r="C10" s="20">
        <v>153318</v>
      </c>
      <c r="D10" s="20">
        <v>159470</v>
      </c>
      <c r="E10" s="20">
        <v>0</v>
      </c>
      <c r="F10" s="20">
        <v>312788</v>
      </c>
      <c r="G10" s="43">
        <v>338097</v>
      </c>
    </row>
    <row r="11" spans="1:7" x14ac:dyDescent="0.2">
      <c r="A11" s="42" t="s">
        <v>150</v>
      </c>
      <c r="B11" s="20">
        <v>32543</v>
      </c>
      <c r="C11" s="20">
        <v>6210</v>
      </c>
      <c r="D11" s="20">
        <v>15128</v>
      </c>
      <c r="E11" s="20">
        <v>0</v>
      </c>
      <c r="F11" s="20">
        <v>21338</v>
      </c>
      <c r="G11" s="43">
        <v>32073</v>
      </c>
    </row>
    <row r="12" spans="1:7" x14ac:dyDescent="0.2">
      <c r="A12" s="42" t="s">
        <v>151</v>
      </c>
      <c r="B12" s="20">
        <v>21544</v>
      </c>
      <c r="C12" s="20">
        <v>22336</v>
      </c>
      <c r="D12" s="20">
        <v>16627</v>
      </c>
      <c r="E12" s="20">
        <v>0</v>
      </c>
      <c r="F12" s="20">
        <v>38962</v>
      </c>
      <c r="G12" s="43">
        <v>35251</v>
      </c>
    </row>
    <row r="13" spans="1:7" x14ac:dyDescent="0.2">
      <c r="A13" s="42" t="s">
        <v>152</v>
      </c>
      <c r="B13" s="20">
        <v>7427</v>
      </c>
      <c r="C13" s="20">
        <v>1024</v>
      </c>
      <c r="D13" s="20">
        <v>3037</v>
      </c>
      <c r="E13" s="20">
        <v>0</v>
      </c>
      <c r="F13" s="20">
        <v>4060</v>
      </c>
      <c r="G13" s="43">
        <v>6438</v>
      </c>
    </row>
    <row r="14" spans="1:7" x14ac:dyDescent="0.2">
      <c r="A14" s="42" t="s">
        <v>153</v>
      </c>
      <c r="B14" s="20">
        <v>15189</v>
      </c>
      <c r="C14" s="20">
        <v>16702</v>
      </c>
      <c r="D14" s="20">
        <v>6203</v>
      </c>
      <c r="E14" s="20">
        <v>0</v>
      </c>
      <c r="F14" s="20">
        <v>22905</v>
      </c>
      <c r="G14" s="43">
        <v>13151</v>
      </c>
    </row>
    <row r="15" spans="1:7" x14ac:dyDescent="0.2">
      <c r="A15" s="42" t="s">
        <v>154</v>
      </c>
      <c r="B15" s="20">
        <v>127061</v>
      </c>
      <c r="C15" s="20">
        <v>125177</v>
      </c>
      <c r="D15" s="20">
        <v>63022</v>
      </c>
      <c r="E15" s="20">
        <v>0</v>
      </c>
      <c r="F15" s="20">
        <v>188199</v>
      </c>
      <c r="G15" s="43">
        <v>133615</v>
      </c>
    </row>
    <row r="16" spans="1:7" x14ac:dyDescent="0.2">
      <c r="A16" s="42" t="s">
        <v>155</v>
      </c>
      <c r="B16" s="20">
        <v>72520</v>
      </c>
      <c r="C16" s="20">
        <v>25519</v>
      </c>
      <c r="D16" s="20">
        <v>34302</v>
      </c>
      <c r="E16" s="20">
        <v>0</v>
      </c>
      <c r="F16" s="20">
        <v>59821</v>
      </c>
      <c r="G16" s="43">
        <v>72724</v>
      </c>
    </row>
    <row r="17" spans="1:7" x14ac:dyDescent="0.2">
      <c r="A17" s="42" t="s">
        <v>156</v>
      </c>
      <c r="B17" s="20">
        <v>13492</v>
      </c>
      <c r="C17" s="20">
        <v>4</v>
      </c>
      <c r="D17" s="20">
        <v>5435</v>
      </c>
      <c r="E17" s="20">
        <v>0</v>
      </c>
      <c r="F17" s="20">
        <v>5439</v>
      </c>
      <c r="G17" s="43">
        <v>11522</v>
      </c>
    </row>
    <row r="18" spans="1:7" x14ac:dyDescent="0.2">
      <c r="A18" s="42" t="s">
        <v>157</v>
      </c>
      <c r="B18" s="20">
        <v>13726</v>
      </c>
      <c r="C18" s="20">
        <v>451</v>
      </c>
      <c r="D18" s="20">
        <v>5212</v>
      </c>
      <c r="E18" s="20">
        <v>0</v>
      </c>
      <c r="F18" s="20">
        <v>5663</v>
      </c>
      <c r="G18" s="43">
        <v>11049</v>
      </c>
    </row>
    <row r="19" spans="1:7" x14ac:dyDescent="0.2">
      <c r="A19" s="42" t="s">
        <v>158</v>
      </c>
      <c r="B19" s="20">
        <v>130077</v>
      </c>
      <c r="C19" s="20">
        <v>66311</v>
      </c>
      <c r="D19" s="20">
        <v>67082</v>
      </c>
      <c r="E19" s="20">
        <v>0</v>
      </c>
      <c r="F19" s="20">
        <v>133393</v>
      </c>
      <c r="G19" s="43">
        <v>142223</v>
      </c>
    </row>
    <row r="20" spans="1:7" x14ac:dyDescent="0.2">
      <c r="A20" s="42" t="s">
        <v>159</v>
      </c>
      <c r="B20" s="20">
        <v>65943</v>
      </c>
      <c r="C20" s="20">
        <v>3488</v>
      </c>
      <c r="D20" s="20">
        <v>27585</v>
      </c>
      <c r="E20" s="20">
        <v>0</v>
      </c>
      <c r="F20" s="20">
        <v>31074</v>
      </c>
      <c r="G20" s="43">
        <v>58485</v>
      </c>
    </row>
    <row r="21" spans="1:7" x14ac:dyDescent="0.2">
      <c r="A21" s="42" t="s">
        <v>160</v>
      </c>
      <c r="B21" s="20">
        <v>38985</v>
      </c>
      <c r="C21" s="20">
        <v>2358</v>
      </c>
      <c r="D21" s="20">
        <v>15489</v>
      </c>
      <c r="E21" s="20">
        <v>0</v>
      </c>
      <c r="F21" s="20">
        <v>17847</v>
      </c>
      <c r="G21" s="43">
        <v>32838</v>
      </c>
    </row>
    <row r="22" spans="1:7" x14ac:dyDescent="0.2">
      <c r="A22" s="42" t="s">
        <v>161</v>
      </c>
      <c r="B22" s="20">
        <v>23744</v>
      </c>
      <c r="C22" s="20">
        <v>5052</v>
      </c>
      <c r="D22" s="20">
        <v>10711</v>
      </c>
      <c r="E22" s="20">
        <v>0</v>
      </c>
      <c r="F22" s="20">
        <v>15764</v>
      </c>
      <c r="G22" s="43">
        <v>22709</v>
      </c>
    </row>
    <row r="23" spans="1:7" x14ac:dyDescent="0.2">
      <c r="A23" s="42" t="s">
        <v>162</v>
      </c>
      <c r="B23" s="20">
        <v>13087</v>
      </c>
      <c r="C23" s="20">
        <v>32382</v>
      </c>
      <c r="D23" s="20">
        <v>18085</v>
      </c>
      <c r="E23" s="20">
        <v>0</v>
      </c>
      <c r="F23" s="20">
        <v>50466</v>
      </c>
      <c r="G23" s="43">
        <v>38342</v>
      </c>
    </row>
    <row r="24" spans="1:7" x14ac:dyDescent="0.2">
      <c r="A24" s="42" t="s">
        <v>163</v>
      </c>
      <c r="B24" s="20">
        <v>45059</v>
      </c>
      <c r="C24" s="20">
        <v>20970</v>
      </c>
      <c r="D24" s="20">
        <v>20564</v>
      </c>
      <c r="E24" s="20">
        <v>0</v>
      </c>
      <c r="F24" s="20">
        <v>41534</v>
      </c>
      <c r="G24" s="43">
        <v>43598</v>
      </c>
    </row>
    <row r="25" spans="1:7" x14ac:dyDescent="0.2">
      <c r="A25" s="42" t="s">
        <v>164</v>
      </c>
      <c r="B25" s="20">
        <v>15917</v>
      </c>
      <c r="C25" s="20">
        <v>3755</v>
      </c>
      <c r="D25" s="20">
        <v>7330</v>
      </c>
      <c r="E25" s="20">
        <v>0</v>
      </c>
      <c r="F25" s="20">
        <v>11085</v>
      </c>
      <c r="G25" s="43">
        <v>15540</v>
      </c>
    </row>
    <row r="26" spans="1:7" x14ac:dyDescent="0.2">
      <c r="A26" s="42" t="s">
        <v>165</v>
      </c>
      <c r="B26" s="20">
        <v>12563</v>
      </c>
      <c r="C26" s="20">
        <v>40976</v>
      </c>
      <c r="D26" s="20">
        <v>21144</v>
      </c>
      <c r="E26" s="20">
        <v>0</v>
      </c>
      <c r="F26" s="20">
        <v>62121</v>
      </c>
      <c r="G26" s="43">
        <v>44829</v>
      </c>
    </row>
    <row r="27" spans="1:7" x14ac:dyDescent="0.2">
      <c r="A27" s="42" t="s">
        <v>166</v>
      </c>
      <c r="B27" s="20">
        <v>59048</v>
      </c>
      <c r="C27" s="20">
        <v>53380</v>
      </c>
      <c r="D27" s="20">
        <v>41640</v>
      </c>
      <c r="E27" s="20">
        <v>0</v>
      </c>
      <c r="F27" s="20">
        <v>95020</v>
      </c>
      <c r="G27" s="43">
        <v>88282</v>
      </c>
    </row>
    <row r="28" spans="1:7" x14ac:dyDescent="0.2">
      <c r="A28" s="42" t="s">
        <v>167</v>
      </c>
      <c r="B28" s="20">
        <v>87426</v>
      </c>
      <c r="C28" s="20">
        <v>84913</v>
      </c>
      <c r="D28" s="20">
        <v>50179</v>
      </c>
      <c r="E28" s="20">
        <v>0</v>
      </c>
      <c r="F28" s="20">
        <v>135092</v>
      </c>
      <c r="G28" s="43">
        <v>106385</v>
      </c>
    </row>
    <row r="29" spans="1:7" x14ac:dyDescent="0.2">
      <c r="A29" s="42" t="s">
        <v>168</v>
      </c>
      <c r="B29" s="20">
        <v>52178</v>
      </c>
      <c r="C29" s="20">
        <v>1125</v>
      </c>
      <c r="D29" s="20">
        <v>21464</v>
      </c>
      <c r="E29" s="20">
        <v>0</v>
      </c>
      <c r="F29" s="20">
        <v>22589</v>
      </c>
      <c r="G29" s="43">
        <v>45505</v>
      </c>
    </row>
    <row r="30" spans="1:7" x14ac:dyDescent="0.2">
      <c r="A30" s="42" t="s">
        <v>169</v>
      </c>
      <c r="B30" s="20">
        <v>3997</v>
      </c>
      <c r="C30" s="20">
        <v>28967</v>
      </c>
      <c r="D30" s="20">
        <v>11847</v>
      </c>
      <c r="E30" s="20">
        <v>0</v>
      </c>
      <c r="F30" s="20">
        <v>40814</v>
      </c>
      <c r="G30" s="43">
        <v>25118</v>
      </c>
    </row>
    <row r="31" spans="1:7" x14ac:dyDescent="0.2">
      <c r="A31" s="42" t="s">
        <v>170</v>
      </c>
      <c r="B31" s="20">
        <v>14015</v>
      </c>
      <c r="C31" s="20">
        <v>51433</v>
      </c>
      <c r="D31" s="20">
        <v>26313</v>
      </c>
      <c r="E31" s="20">
        <v>0</v>
      </c>
      <c r="F31" s="20">
        <v>77746</v>
      </c>
      <c r="G31" s="43">
        <v>55788</v>
      </c>
    </row>
    <row r="32" spans="1:7" x14ac:dyDescent="0.2">
      <c r="A32" s="42" t="s">
        <v>171</v>
      </c>
      <c r="B32" s="20">
        <v>1235</v>
      </c>
      <c r="C32" s="20">
        <v>7491</v>
      </c>
      <c r="D32" s="20">
        <v>3505</v>
      </c>
      <c r="E32" s="20">
        <v>0</v>
      </c>
      <c r="F32" s="20">
        <v>10996</v>
      </c>
      <c r="G32" s="43">
        <v>7432</v>
      </c>
    </row>
    <row r="33" spans="1:7" x14ac:dyDescent="0.2">
      <c r="A33" s="42" t="s">
        <v>172</v>
      </c>
      <c r="B33" s="20">
        <v>23432</v>
      </c>
      <c r="C33" s="20">
        <v>429</v>
      </c>
      <c r="D33" s="20">
        <v>7355</v>
      </c>
      <c r="E33" s="20">
        <v>0</v>
      </c>
      <c r="F33" s="20">
        <v>7784</v>
      </c>
      <c r="G33" s="43">
        <v>15594</v>
      </c>
    </row>
    <row r="34" spans="1:7" x14ac:dyDescent="0.2">
      <c r="A34" s="42" t="s">
        <v>173</v>
      </c>
      <c r="B34" s="20">
        <v>26061</v>
      </c>
      <c r="C34" s="20">
        <v>5169</v>
      </c>
      <c r="D34" s="20">
        <v>9301</v>
      </c>
      <c r="E34" s="20">
        <v>0</v>
      </c>
      <c r="F34" s="20">
        <v>14470</v>
      </c>
      <c r="G34" s="43">
        <v>19720</v>
      </c>
    </row>
    <row r="35" spans="1:7" x14ac:dyDescent="0.2">
      <c r="A35" s="42" t="s">
        <v>174</v>
      </c>
      <c r="B35" s="20">
        <v>12449</v>
      </c>
      <c r="C35" s="20">
        <v>1437</v>
      </c>
      <c r="D35" s="20">
        <v>5168</v>
      </c>
      <c r="E35" s="20">
        <v>0</v>
      </c>
      <c r="F35" s="20">
        <v>6605</v>
      </c>
      <c r="G35" s="43">
        <v>10956</v>
      </c>
    </row>
    <row r="36" spans="1:7" x14ac:dyDescent="0.2">
      <c r="A36" s="42" t="s">
        <v>175</v>
      </c>
      <c r="B36" s="20">
        <v>47674</v>
      </c>
      <c r="C36" s="20">
        <v>51858</v>
      </c>
      <c r="D36" s="20">
        <v>36863</v>
      </c>
      <c r="E36" s="20">
        <v>0</v>
      </c>
      <c r="F36" s="20">
        <v>88721</v>
      </c>
      <c r="G36" s="43">
        <v>78154</v>
      </c>
    </row>
    <row r="37" spans="1:7" x14ac:dyDescent="0.2">
      <c r="A37" s="42" t="s">
        <v>176</v>
      </c>
      <c r="B37" s="20">
        <v>18652</v>
      </c>
      <c r="C37" s="20">
        <v>1338</v>
      </c>
      <c r="D37" s="20">
        <v>7611</v>
      </c>
      <c r="E37" s="20">
        <v>0</v>
      </c>
      <c r="F37" s="20">
        <v>8949</v>
      </c>
      <c r="G37" s="43">
        <v>16136</v>
      </c>
    </row>
    <row r="38" spans="1:7" x14ac:dyDescent="0.2">
      <c r="A38" s="42" t="s">
        <v>177</v>
      </c>
      <c r="B38" s="20">
        <v>140921</v>
      </c>
      <c r="C38" s="20">
        <v>263367</v>
      </c>
      <c r="D38" s="20">
        <v>132292</v>
      </c>
      <c r="E38" s="20">
        <v>0</v>
      </c>
      <c r="F38" s="20">
        <v>395659</v>
      </c>
      <c r="G38" s="43">
        <v>280476</v>
      </c>
    </row>
    <row r="39" spans="1:7" x14ac:dyDescent="0.2">
      <c r="A39" s="42" t="s">
        <v>178</v>
      </c>
      <c r="B39" s="20">
        <v>75662</v>
      </c>
      <c r="C39" s="20">
        <v>6063</v>
      </c>
      <c r="D39" s="20">
        <v>32332</v>
      </c>
      <c r="E39" s="20">
        <v>0</v>
      </c>
      <c r="F39" s="20">
        <v>38395</v>
      </c>
      <c r="G39" s="43">
        <v>68547</v>
      </c>
    </row>
    <row r="40" spans="1:7" x14ac:dyDescent="0.2">
      <c r="A40" s="42" t="s">
        <v>179</v>
      </c>
      <c r="B40" s="20">
        <v>4447</v>
      </c>
      <c r="C40" s="20">
        <v>1196</v>
      </c>
      <c r="D40" s="20">
        <v>2269</v>
      </c>
      <c r="E40" s="20">
        <v>0</v>
      </c>
      <c r="F40" s="20">
        <v>3465</v>
      </c>
      <c r="G40" s="43">
        <v>4810</v>
      </c>
    </row>
    <row r="41" spans="1:7" x14ac:dyDescent="0.2">
      <c r="A41" s="42" t="s">
        <v>180</v>
      </c>
      <c r="B41" s="20">
        <v>144164</v>
      </c>
      <c r="C41" s="20">
        <v>13607</v>
      </c>
      <c r="D41" s="20">
        <v>62160</v>
      </c>
      <c r="E41" s="20">
        <v>0</v>
      </c>
      <c r="F41" s="20">
        <v>75766</v>
      </c>
      <c r="G41" s="43">
        <v>131786</v>
      </c>
    </row>
    <row r="42" spans="1:7" x14ac:dyDescent="0.2">
      <c r="A42" s="42" t="s">
        <v>181</v>
      </c>
      <c r="B42" s="20">
        <v>28420</v>
      </c>
      <c r="C42" s="20">
        <v>796</v>
      </c>
      <c r="D42" s="20">
        <v>11578</v>
      </c>
      <c r="E42" s="20">
        <v>0</v>
      </c>
      <c r="F42" s="20">
        <v>12375</v>
      </c>
      <c r="G42" s="43">
        <v>24548</v>
      </c>
    </row>
    <row r="43" spans="1:7" x14ac:dyDescent="0.2">
      <c r="A43" s="42" t="s">
        <v>182</v>
      </c>
      <c r="B43" s="20">
        <v>35603</v>
      </c>
      <c r="C43" s="20">
        <v>384</v>
      </c>
      <c r="D43" s="20">
        <v>14477</v>
      </c>
      <c r="E43" s="20">
        <v>0</v>
      </c>
      <c r="F43" s="20">
        <v>14860</v>
      </c>
      <c r="G43" s="43">
        <v>30692</v>
      </c>
    </row>
    <row r="44" spans="1:7" x14ac:dyDescent="0.2">
      <c r="A44" s="42" t="s">
        <v>183</v>
      </c>
      <c r="B44" s="20">
        <v>178088</v>
      </c>
      <c r="C44" s="20">
        <v>19975</v>
      </c>
      <c r="D44" s="20">
        <v>77108</v>
      </c>
      <c r="E44" s="20">
        <v>0</v>
      </c>
      <c r="F44" s="20">
        <v>97082</v>
      </c>
      <c r="G44" s="43">
        <v>163479</v>
      </c>
    </row>
    <row r="45" spans="1:7" x14ac:dyDescent="0.2">
      <c r="A45" s="42" t="s">
        <v>184</v>
      </c>
      <c r="B45" s="20">
        <v>17087</v>
      </c>
      <c r="C45" s="20">
        <v>7745</v>
      </c>
      <c r="D45" s="20">
        <v>6813</v>
      </c>
      <c r="E45" s="20">
        <v>0</v>
      </c>
      <c r="F45" s="20">
        <v>14557</v>
      </c>
      <c r="G45" s="43">
        <v>14444</v>
      </c>
    </row>
    <row r="46" spans="1:7" x14ac:dyDescent="0.2">
      <c r="A46" s="42" t="s">
        <v>185</v>
      </c>
      <c r="B46" s="20">
        <v>38268</v>
      </c>
      <c r="C46" s="20">
        <v>1924</v>
      </c>
      <c r="D46" s="20">
        <v>15688</v>
      </c>
      <c r="E46" s="20">
        <v>0</v>
      </c>
      <c r="F46" s="20">
        <v>17612</v>
      </c>
      <c r="G46" s="43">
        <v>33260</v>
      </c>
    </row>
    <row r="47" spans="1:7" x14ac:dyDescent="0.2">
      <c r="A47" s="42" t="s">
        <v>186</v>
      </c>
      <c r="B47" s="20">
        <v>8004</v>
      </c>
      <c r="C47" s="20">
        <v>1</v>
      </c>
      <c r="D47" s="20">
        <v>3038</v>
      </c>
      <c r="E47" s="20">
        <v>0</v>
      </c>
      <c r="F47" s="20">
        <v>3039</v>
      </c>
      <c r="G47" s="43">
        <v>6440</v>
      </c>
    </row>
    <row r="48" spans="1:7" x14ac:dyDescent="0.2">
      <c r="A48" s="42" t="s">
        <v>187</v>
      </c>
      <c r="B48" s="20">
        <v>47569</v>
      </c>
      <c r="C48" s="20">
        <v>4947</v>
      </c>
      <c r="D48" s="20">
        <v>20905</v>
      </c>
      <c r="E48" s="20">
        <v>0</v>
      </c>
      <c r="F48" s="20">
        <v>25852</v>
      </c>
      <c r="G48" s="43">
        <v>44322</v>
      </c>
    </row>
    <row r="49" spans="1:7" x14ac:dyDescent="0.2">
      <c r="A49" s="42" t="s">
        <v>188</v>
      </c>
      <c r="B49" s="20">
        <v>238609</v>
      </c>
      <c r="C49" s="20">
        <v>60719</v>
      </c>
      <c r="D49" s="20">
        <v>99260</v>
      </c>
      <c r="E49" s="20">
        <v>0</v>
      </c>
      <c r="F49" s="20">
        <v>159979</v>
      </c>
      <c r="G49" s="43">
        <v>210445</v>
      </c>
    </row>
    <row r="50" spans="1:7" x14ac:dyDescent="0.2">
      <c r="A50" s="42" t="s">
        <v>189</v>
      </c>
      <c r="B50" s="20">
        <v>21624</v>
      </c>
      <c r="C50" s="20">
        <v>1410</v>
      </c>
      <c r="D50" s="20">
        <v>8789</v>
      </c>
      <c r="E50" s="20">
        <v>0</v>
      </c>
      <c r="F50" s="20">
        <v>10200</v>
      </c>
      <c r="G50" s="43">
        <v>18635</v>
      </c>
    </row>
    <row r="51" spans="1:7" x14ac:dyDescent="0.2">
      <c r="A51" s="42" t="s">
        <v>190</v>
      </c>
      <c r="B51" s="20">
        <v>8010</v>
      </c>
      <c r="C51" s="20">
        <v>754</v>
      </c>
      <c r="D51" s="20">
        <v>3259</v>
      </c>
      <c r="E51" s="20">
        <v>0</v>
      </c>
      <c r="F51" s="20">
        <v>4013</v>
      </c>
      <c r="G51" s="43">
        <v>6910</v>
      </c>
    </row>
    <row r="52" spans="1:7" x14ac:dyDescent="0.2">
      <c r="A52" s="42" t="s">
        <v>191</v>
      </c>
      <c r="B52" s="20">
        <v>54898</v>
      </c>
      <c r="C52" s="20">
        <v>10489</v>
      </c>
      <c r="D52" s="20">
        <v>23775</v>
      </c>
      <c r="E52" s="20">
        <v>0</v>
      </c>
      <c r="F52" s="20">
        <v>34264</v>
      </c>
      <c r="G52" s="43">
        <v>50407</v>
      </c>
    </row>
    <row r="53" spans="1:7" x14ac:dyDescent="0.2">
      <c r="A53" s="42" t="s">
        <v>192</v>
      </c>
      <c r="B53" s="20">
        <v>50734</v>
      </c>
      <c r="C53" s="20">
        <v>10170</v>
      </c>
      <c r="D53" s="20">
        <v>23465</v>
      </c>
      <c r="E53" s="20">
        <v>0</v>
      </c>
      <c r="F53" s="20">
        <v>33635</v>
      </c>
      <c r="G53" s="43">
        <v>49749</v>
      </c>
    </row>
    <row r="54" spans="1:7" x14ac:dyDescent="0.2">
      <c r="A54" s="42" t="s">
        <v>193</v>
      </c>
      <c r="B54" s="20">
        <v>21625</v>
      </c>
      <c r="C54" s="20">
        <v>1589</v>
      </c>
      <c r="D54" s="20">
        <v>8589</v>
      </c>
      <c r="E54" s="20">
        <v>0</v>
      </c>
      <c r="F54" s="20">
        <v>10177</v>
      </c>
      <c r="G54" s="43">
        <v>18209</v>
      </c>
    </row>
    <row r="55" spans="1:7" x14ac:dyDescent="0.2">
      <c r="A55" s="42" t="s">
        <v>194</v>
      </c>
      <c r="B55" s="20">
        <v>43257</v>
      </c>
      <c r="C55" s="20">
        <v>47831</v>
      </c>
      <c r="D55" s="20">
        <v>25580</v>
      </c>
      <c r="E55" s="20">
        <v>0</v>
      </c>
      <c r="F55" s="20">
        <v>73411</v>
      </c>
      <c r="G55" s="43">
        <v>54234</v>
      </c>
    </row>
    <row r="56" spans="1:7" x14ac:dyDescent="0.2">
      <c r="A56" s="42" t="s">
        <v>195</v>
      </c>
      <c r="B56" s="20">
        <v>3573</v>
      </c>
      <c r="C56" s="20">
        <v>3218</v>
      </c>
      <c r="D56" s="20">
        <v>1645</v>
      </c>
      <c r="E56" s="20">
        <v>0</v>
      </c>
      <c r="F56" s="20">
        <v>4863</v>
      </c>
      <c r="G56" s="43">
        <v>3488</v>
      </c>
    </row>
    <row r="57" spans="1:7" x14ac:dyDescent="0.2">
      <c r="A57" s="42" t="s">
        <v>196</v>
      </c>
      <c r="B57" s="20">
        <v>0</v>
      </c>
      <c r="C57" s="20">
        <v>932</v>
      </c>
      <c r="D57" s="20">
        <v>352</v>
      </c>
      <c r="E57" s="20">
        <v>0</v>
      </c>
      <c r="F57" s="20">
        <v>1284</v>
      </c>
      <c r="G57" s="43">
        <v>747</v>
      </c>
    </row>
    <row r="58" spans="1:7" x14ac:dyDescent="0.2">
      <c r="A58" s="42" t="s">
        <v>197</v>
      </c>
      <c r="B58" s="20">
        <v>3110</v>
      </c>
      <c r="C58" s="20">
        <v>3125</v>
      </c>
      <c r="D58" s="20">
        <v>1252</v>
      </c>
      <c r="E58" s="20">
        <v>0</v>
      </c>
      <c r="F58" s="20">
        <v>4378</v>
      </c>
      <c r="G58" s="43">
        <v>2655</v>
      </c>
    </row>
    <row r="59" spans="1:7" x14ac:dyDescent="0.2">
      <c r="A59" s="42" t="s">
        <v>198</v>
      </c>
      <c r="B59" s="20">
        <v>964</v>
      </c>
      <c r="C59" s="20">
        <v>961</v>
      </c>
      <c r="D59" s="20">
        <v>385</v>
      </c>
      <c r="E59" s="20">
        <v>0</v>
      </c>
      <c r="F59" s="20">
        <v>1347</v>
      </c>
      <c r="G59" s="43">
        <v>817</v>
      </c>
    </row>
    <row r="60" spans="1:7" x14ac:dyDescent="0.2">
      <c r="A60" s="42" t="s">
        <v>199</v>
      </c>
      <c r="B60" s="20">
        <v>29210</v>
      </c>
      <c r="C60" s="20">
        <v>31338</v>
      </c>
      <c r="D60" s="20">
        <v>22748</v>
      </c>
      <c r="E60" s="20">
        <v>0</v>
      </c>
      <c r="F60" s="20">
        <v>54085</v>
      </c>
      <c r="G60" s="43">
        <v>48228</v>
      </c>
    </row>
    <row r="61" spans="1:7" x14ac:dyDescent="0.2">
      <c r="A61" s="42" t="s">
        <v>200</v>
      </c>
      <c r="B61" s="20">
        <v>0</v>
      </c>
      <c r="C61" s="20">
        <v>0</v>
      </c>
      <c r="D61" s="20">
        <v>0</v>
      </c>
      <c r="E61" s="20">
        <v>0</v>
      </c>
      <c r="F61" s="20">
        <v>0</v>
      </c>
      <c r="G61" s="43">
        <v>0</v>
      </c>
    </row>
    <row r="62" spans="1:7" x14ac:dyDescent="0.2">
      <c r="A62" s="42" t="s">
        <v>201</v>
      </c>
      <c r="B62" s="20">
        <v>1983</v>
      </c>
      <c r="C62" s="20">
        <v>1982</v>
      </c>
      <c r="D62" s="20">
        <v>790</v>
      </c>
      <c r="E62" s="20">
        <v>0</v>
      </c>
      <c r="F62" s="20">
        <v>2772</v>
      </c>
      <c r="G62" s="43">
        <v>1675</v>
      </c>
    </row>
    <row r="63" spans="1:7" x14ac:dyDescent="0.2">
      <c r="A63" s="42" t="s">
        <v>202</v>
      </c>
      <c r="B63" s="20">
        <v>64070</v>
      </c>
      <c r="C63" s="20">
        <v>930</v>
      </c>
      <c r="D63" s="20">
        <v>0</v>
      </c>
      <c r="E63" s="20">
        <v>0</v>
      </c>
      <c r="F63" s="20">
        <v>930</v>
      </c>
      <c r="G63" s="43">
        <v>0</v>
      </c>
    </row>
    <row r="64" spans="1:7" x14ac:dyDescent="0.2">
      <c r="A64" s="42" t="s">
        <v>203</v>
      </c>
      <c r="B64" s="20">
        <v>0</v>
      </c>
      <c r="C64" s="20">
        <v>0</v>
      </c>
      <c r="D64" s="20">
        <v>0</v>
      </c>
      <c r="E64" s="20">
        <v>0</v>
      </c>
      <c r="F64" s="20">
        <v>0</v>
      </c>
      <c r="G64" s="43">
        <v>0</v>
      </c>
    </row>
    <row r="65" spans="1:7" ht="15" customHeight="1" x14ac:dyDescent="0.2">
      <c r="A65" s="44" t="s">
        <v>204</v>
      </c>
      <c r="B65" s="45">
        <v>2670032</v>
      </c>
      <c r="C65" s="45">
        <v>1365232</v>
      </c>
      <c r="D65" s="45">
        <v>1370201</v>
      </c>
      <c r="E65" s="45">
        <v>0</v>
      </c>
      <c r="F65" s="45">
        <v>2735431</v>
      </c>
      <c r="G65" s="51">
        <v>2905000</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pageSetUpPr fitToPage="1"/>
  </sheetPr>
  <dimension ref="A1:H66"/>
  <sheetViews>
    <sheetView workbookViewId="0"/>
  </sheetViews>
  <sheetFormatPr defaultRowHeight="12.75" x14ac:dyDescent="0.2"/>
  <cols>
    <col min="1" max="1" width="30.7109375" customWidth="1"/>
    <col min="2" max="2" width="11.7109375" customWidth="1"/>
    <col min="3" max="3" width="13.42578125" customWidth="1"/>
    <col min="4" max="5" width="11.7109375" customWidth="1"/>
    <col min="6" max="6" width="13.5703125" customWidth="1"/>
    <col min="7" max="7" width="14.42578125" customWidth="1"/>
  </cols>
  <sheetData>
    <row r="1" spans="1:7" ht="38.25" customHeight="1" x14ac:dyDescent="0.2">
      <c r="A1" s="15" t="s">
        <v>237</v>
      </c>
      <c r="B1" s="16"/>
      <c r="C1" s="16"/>
      <c r="D1" s="16"/>
      <c r="E1" s="16"/>
      <c r="F1" s="16"/>
      <c r="G1" s="15" t="s">
        <v>239</v>
      </c>
    </row>
    <row r="2" spans="1:7" x14ac:dyDescent="0.2">
      <c r="A2" s="17" t="s">
        <v>351</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52" t="s">
        <v>655</v>
      </c>
      <c r="C6" s="52" t="s">
        <v>655</v>
      </c>
      <c r="D6" s="52" t="s">
        <v>655</v>
      </c>
      <c r="E6" s="52" t="s">
        <v>655</v>
      </c>
      <c r="F6" s="52" t="s">
        <v>655</v>
      </c>
      <c r="G6" s="53" t="s">
        <v>655</v>
      </c>
    </row>
    <row r="7" spans="1:7" x14ac:dyDescent="0.2">
      <c r="A7" s="42" t="s">
        <v>146</v>
      </c>
      <c r="B7" s="52" t="s">
        <v>655</v>
      </c>
      <c r="C7" s="52" t="s">
        <v>613</v>
      </c>
      <c r="D7" s="52" t="s">
        <v>655</v>
      </c>
      <c r="E7" s="52" t="s">
        <v>655</v>
      </c>
      <c r="F7" s="52" t="s">
        <v>613</v>
      </c>
      <c r="G7" s="54" t="s">
        <v>614</v>
      </c>
    </row>
    <row r="8" spans="1:7" x14ac:dyDescent="0.2">
      <c r="A8" s="42" t="s">
        <v>147</v>
      </c>
      <c r="B8" s="52" t="s">
        <v>655</v>
      </c>
      <c r="C8" s="52" t="s">
        <v>655</v>
      </c>
      <c r="D8" s="52" t="s">
        <v>655</v>
      </c>
      <c r="E8" s="52" t="s">
        <v>655</v>
      </c>
      <c r="F8" s="52" t="s">
        <v>655</v>
      </c>
      <c r="G8" s="53" t="s">
        <v>655</v>
      </c>
    </row>
    <row r="9" spans="1:7" x14ac:dyDescent="0.2">
      <c r="A9" s="42" t="s">
        <v>148</v>
      </c>
      <c r="B9" s="52" t="s">
        <v>655</v>
      </c>
      <c r="C9" s="52" t="s">
        <v>615</v>
      </c>
      <c r="D9" s="52" t="s">
        <v>655</v>
      </c>
      <c r="E9" s="52" t="s">
        <v>655</v>
      </c>
      <c r="F9" s="52" t="s">
        <v>615</v>
      </c>
      <c r="G9" s="53" t="s">
        <v>655</v>
      </c>
    </row>
    <row r="10" spans="1:7" x14ac:dyDescent="0.2">
      <c r="A10" s="42" t="s">
        <v>149</v>
      </c>
      <c r="B10" s="52" t="s">
        <v>616</v>
      </c>
      <c r="C10" s="52" t="s">
        <v>617</v>
      </c>
      <c r="D10" s="52" t="s">
        <v>655</v>
      </c>
      <c r="E10" s="52" t="s">
        <v>655</v>
      </c>
      <c r="F10" s="52" t="s">
        <v>617</v>
      </c>
      <c r="G10" s="54" t="s">
        <v>618</v>
      </c>
    </row>
    <row r="11" spans="1:7" x14ac:dyDescent="0.2">
      <c r="A11" s="42" t="s">
        <v>150</v>
      </c>
      <c r="B11" s="52" t="s">
        <v>655</v>
      </c>
      <c r="C11" s="52" t="s">
        <v>655</v>
      </c>
      <c r="D11" s="52" t="s">
        <v>655</v>
      </c>
      <c r="E11" s="52" t="s">
        <v>655</v>
      </c>
      <c r="F11" s="52" t="s">
        <v>655</v>
      </c>
      <c r="G11" s="53" t="s">
        <v>655</v>
      </c>
    </row>
    <row r="12" spans="1:7" x14ac:dyDescent="0.2">
      <c r="A12" s="42" t="s">
        <v>151</v>
      </c>
      <c r="B12" s="52" t="s">
        <v>655</v>
      </c>
      <c r="C12" s="52" t="s">
        <v>655</v>
      </c>
      <c r="D12" s="52" t="s">
        <v>655</v>
      </c>
      <c r="E12" s="52" t="s">
        <v>655</v>
      </c>
      <c r="F12" s="52" t="s">
        <v>655</v>
      </c>
      <c r="G12" s="53" t="s">
        <v>655</v>
      </c>
    </row>
    <row r="13" spans="1:7" x14ac:dyDescent="0.2">
      <c r="A13" s="42" t="s">
        <v>152</v>
      </c>
      <c r="B13" s="52" t="s">
        <v>655</v>
      </c>
      <c r="C13" s="52" t="s">
        <v>655</v>
      </c>
      <c r="D13" s="52" t="s">
        <v>655</v>
      </c>
      <c r="E13" s="52" t="s">
        <v>655</v>
      </c>
      <c r="F13" s="52" t="s">
        <v>655</v>
      </c>
      <c r="G13" s="53" t="s">
        <v>655</v>
      </c>
    </row>
    <row r="14" spans="1:7" x14ac:dyDescent="0.2">
      <c r="A14" s="42" t="s">
        <v>153</v>
      </c>
      <c r="B14" s="52" t="s">
        <v>655</v>
      </c>
      <c r="C14" s="52" t="s">
        <v>655</v>
      </c>
      <c r="D14" s="52" t="s">
        <v>655</v>
      </c>
      <c r="E14" s="52" t="s">
        <v>655</v>
      </c>
      <c r="F14" s="52" t="s">
        <v>655</v>
      </c>
      <c r="G14" s="53" t="s">
        <v>655</v>
      </c>
    </row>
    <row r="15" spans="1:7" x14ac:dyDescent="0.2">
      <c r="A15" s="42" t="s">
        <v>154</v>
      </c>
      <c r="B15" s="52" t="s">
        <v>619</v>
      </c>
      <c r="C15" s="52" t="s">
        <v>620</v>
      </c>
      <c r="D15" s="52" t="s">
        <v>655</v>
      </c>
      <c r="E15" s="52" t="s">
        <v>655</v>
      </c>
      <c r="F15" s="52" t="s">
        <v>620</v>
      </c>
      <c r="G15" s="54" t="s">
        <v>621</v>
      </c>
    </row>
    <row r="16" spans="1:7" x14ac:dyDescent="0.2">
      <c r="A16" s="42" t="s">
        <v>155</v>
      </c>
      <c r="B16" s="52" t="s">
        <v>655</v>
      </c>
      <c r="C16" s="52" t="s">
        <v>622</v>
      </c>
      <c r="D16" s="52" t="s">
        <v>655</v>
      </c>
      <c r="E16" s="52" t="s">
        <v>655</v>
      </c>
      <c r="F16" s="52" t="s">
        <v>622</v>
      </c>
      <c r="G16" s="54" t="s">
        <v>623</v>
      </c>
    </row>
    <row r="17" spans="1:7" x14ac:dyDescent="0.2">
      <c r="A17" s="42" t="s">
        <v>156</v>
      </c>
      <c r="B17" s="52" t="s">
        <v>655</v>
      </c>
      <c r="C17" s="52" t="s">
        <v>624</v>
      </c>
      <c r="D17" s="52" t="s">
        <v>655</v>
      </c>
      <c r="E17" s="52" t="s">
        <v>655</v>
      </c>
      <c r="F17" s="52" t="s">
        <v>624</v>
      </c>
      <c r="G17" s="54" t="s">
        <v>625</v>
      </c>
    </row>
    <row r="18" spans="1:7" x14ac:dyDescent="0.2">
      <c r="A18" s="42" t="s">
        <v>157</v>
      </c>
      <c r="B18" s="52" t="s">
        <v>655</v>
      </c>
      <c r="C18" s="52" t="s">
        <v>655</v>
      </c>
      <c r="D18" s="52" t="s">
        <v>655</v>
      </c>
      <c r="E18" s="52" t="s">
        <v>655</v>
      </c>
      <c r="F18" s="52" t="s">
        <v>655</v>
      </c>
      <c r="G18" s="53" t="s">
        <v>655</v>
      </c>
    </row>
    <row r="19" spans="1:7" x14ac:dyDescent="0.2">
      <c r="A19" s="42" t="s">
        <v>158</v>
      </c>
      <c r="B19" s="52" t="s">
        <v>655</v>
      </c>
      <c r="C19" s="52" t="s">
        <v>655</v>
      </c>
      <c r="D19" s="52" t="s">
        <v>655</v>
      </c>
      <c r="E19" s="52" t="s">
        <v>655</v>
      </c>
      <c r="F19" s="52" t="s">
        <v>655</v>
      </c>
      <c r="G19" s="53" t="s">
        <v>655</v>
      </c>
    </row>
    <row r="20" spans="1:7" x14ac:dyDescent="0.2">
      <c r="A20" s="42" t="s">
        <v>159</v>
      </c>
      <c r="B20" s="52" t="s">
        <v>655</v>
      </c>
      <c r="C20" s="52" t="s">
        <v>655</v>
      </c>
      <c r="D20" s="52" t="s">
        <v>655</v>
      </c>
      <c r="E20" s="52" t="s">
        <v>655</v>
      </c>
      <c r="F20" s="52" t="s">
        <v>655</v>
      </c>
      <c r="G20" s="53" t="s">
        <v>655</v>
      </c>
    </row>
    <row r="21" spans="1:7" x14ac:dyDescent="0.2">
      <c r="A21" s="42" t="s">
        <v>160</v>
      </c>
      <c r="B21" s="52" t="s">
        <v>655</v>
      </c>
      <c r="C21" s="52" t="s">
        <v>626</v>
      </c>
      <c r="D21" s="52" t="s">
        <v>655</v>
      </c>
      <c r="E21" s="52" t="s">
        <v>655</v>
      </c>
      <c r="F21" s="52" t="s">
        <v>626</v>
      </c>
      <c r="G21" s="53" t="s">
        <v>655</v>
      </c>
    </row>
    <row r="22" spans="1:7" x14ac:dyDescent="0.2">
      <c r="A22" s="42" t="s">
        <v>161</v>
      </c>
      <c r="B22" s="52" t="s">
        <v>655</v>
      </c>
      <c r="C22" s="52" t="s">
        <v>655</v>
      </c>
      <c r="D22" s="52" t="s">
        <v>655</v>
      </c>
      <c r="E22" s="52" t="s">
        <v>655</v>
      </c>
      <c r="F22" s="52" t="s">
        <v>655</v>
      </c>
      <c r="G22" s="53" t="s">
        <v>655</v>
      </c>
    </row>
    <row r="23" spans="1:7" x14ac:dyDescent="0.2">
      <c r="A23" s="42" t="s">
        <v>162</v>
      </c>
      <c r="B23" s="52" t="s">
        <v>655</v>
      </c>
      <c r="C23" s="52" t="s">
        <v>655</v>
      </c>
      <c r="D23" s="52" t="s">
        <v>655</v>
      </c>
      <c r="E23" s="52" t="s">
        <v>655</v>
      </c>
      <c r="F23" s="52" t="s">
        <v>655</v>
      </c>
      <c r="G23" s="53" t="s">
        <v>655</v>
      </c>
    </row>
    <row r="24" spans="1:7" x14ac:dyDescent="0.2">
      <c r="A24" s="42" t="s">
        <v>163</v>
      </c>
      <c r="B24" s="52" t="s">
        <v>627</v>
      </c>
      <c r="C24" s="52" t="s">
        <v>655</v>
      </c>
      <c r="D24" s="52" t="s">
        <v>655</v>
      </c>
      <c r="E24" s="52" t="s">
        <v>655</v>
      </c>
      <c r="F24" s="52" t="s">
        <v>655</v>
      </c>
      <c r="G24" s="53" t="s">
        <v>655</v>
      </c>
    </row>
    <row r="25" spans="1:7" x14ac:dyDescent="0.2">
      <c r="A25" s="42" t="s">
        <v>164</v>
      </c>
      <c r="B25" s="52" t="s">
        <v>655</v>
      </c>
      <c r="C25" s="52" t="s">
        <v>655</v>
      </c>
      <c r="D25" s="52" t="s">
        <v>655</v>
      </c>
      <c r="E25" s="52" t="s">
        <v>655</v>
      </c>
      <c r="F25" s="52" t="s">
        <v>655</v>
      </c>
      <c r="G25" s="53" t="s">
        <v>655</v>
      </c>
    </row>
    <row r="26" spans="1:7" x14ac:dyDescent="0.2">
      <c r="A26" s="42" t="s">
        <v>165</v>
      </c>
      <c r="B26" s="52" t="s">
        <v>655</v>
      </c>
      <c r="C26" s="52" t="s">
        <v>655</v>
      </c>
      <c r="D26" s="52" t="s">
        <v>655</v>
      </c>
      <c r="E26" s="52" t="s">
        <v>655</v>
      </c>
      <c r="F26" s="52" t="s">
        <v>655</v>
      </c>
      <c r="G26" s="53" t="s">
        <v>655</v>
      </c>
    </row>
    <row r="27" spans="1:7" x14ac:dyDescent="0.2">
      <c r="A27" s="42" t="s">
        <v>166</v>
      </c>
      <c r="B27" s="52" t="s">
        <v>655</v>
      </c>
      <c r="C27" s="52" t="s">
        <v>655</v>
      </c>
      <c r="D27" s="52" t="s">
        <v>655</v>
      </c>
      <c r="E27" s="52" t="s">
        <v>655</v>
      </c>
      <c r="F27" s="52" t="s">
        <v>655</v>
      </c>
      <c r="G27" s="53" t="s">
        <v>655</v>
      </c>
    </row>
    <row r="28" spans="1:7" x14ac:dyDescent="0.2">
      <c r="A28" s="42" t="s">
        <v>167</v>
      </c>
      <c r="B28" s="52" t="s">
        <v>655</v>
      </c>
      <c r="C28" s="52" t="s">
        <v>655</v>
      </c>
      <c r="D28" s="52" t="s">
        <v>655</v>
      </c>
      <c r="E28" s="52" t="s">
        <v>655</v>
      </c>
      <c r="F28" s="52" t="s">
        <v>655</v>
      </c>
      <c r="G28" s="53" t="s">
        <v>655</v>
      </c>
    </row>
    <row r="29" spans="1:7" x14ac:dyDescent="0.2">
      <c r="A29" s="42" t="s">
        <v>168</v>
      </c>
      <c r="B29" s="52" t="s">
        <v>655</v>
      </c>
      <c r="C29" s="52" t="s">
        <v>655</v>
      </c>
      <c r="D29" s="52" t="s">
        <v>655</v>
      </c>
      <c r="E29" s="52" t="s">
        <v>655</v>
      </c>
      <c r="F29" s="52" t="s">
        <v>655</v>
      </c>
      <c r="G29" s="53" t="s">
        <v>655</v>
      </c>
    </row>
    <row r="30" spans="1:7" x14ac:dyDescent="0.2">
      <c r="A30" s="42" t="s">
        <v>169</v>
      </c>
      <c r="B30" s="52" t="s">
        <v>655</v>
      </c>
      <c r="C30" s="52" t="s">
        <v>655</v>
      </c>
      <c r="D30" s="52" t="s">
        <v>655</v>
      </c>
      <c r="E30" s="52" t="s">
        <v>655</v>
      </c>
      <c r="F30" s="52" t="s">
        <v>655</v>
      </c>
      <c r="G30" s="53" t="s">
        <v>655</v>
      </c>
    </row>
    <row r="31" spans="1:7" x14ac:dyDescent="0.2">
      <c r="A31" s="42" t="s">
        <v>170</v>
      </c>
      <c r="B31" s="52" t="s">
        <v>655</v>
      </c>
      <c r="C31" s="52" t="s">
        <v>628</v>
      </c>
      <c r="D31" s="52" t="s">
        <v>655</v>
      </c>
      <c r="E31" s="52" t="s">
        <v>655</v>
      </c>
      <c r="F31" s="52" t="s">
        <v>628</v>
      </c>
      <c r="G31" s="53" t="s">
        <v>655</v>
      </c>
    </row>
    <row r="32" spans="1:7" x14ac:dyDescent="0.2">
      <c r="A32" s="42" t="s">
        <v>171</v>
      </c>
      <c r="B32" s="52" t="s">
        <v>655</v>
      </c>
      <c r="C32" s="52" t="s">
        <v>655</v>
      </c>
      <c r="D32" s="52" t="s">
        <v>655</v>
      </c>
      <c r="E32" s="52" t="s">
        <v>655</v>
      </c>
      <c r="F32" s="52" t="s">
        <v>655</v>
      </c>
      <c r="G32" s="53" t="s">
        <v>655</v>
      </c>
    </row>
    <row r="33" spans="1:7" x14ac:dyDescent="0.2">
      <c r="A33" s="42" t="s">
        <v>172</v>
      </c>
      <c r="B33" s="52" t="s">
        <v>655</v>
      </c>
      <c r="C33" s="52" t="s">
        <v>629</v>
      </c>
      <c r="D33" s="52" t="s">
        <v>655</v>
      </c>
      <c r="E33" s="52" t="s">
        <v>655</v>
      </c>
      <c r="F33" s="52" t="s">
        <v>629</v>
      </c>
      <c r="G33" s="53" t="s">
        <v>655</v>
      </c>
    </row>
    <row r="34" spans="1:7" x14ac:dyDescent="0.2">
      <c r="A34" s="42" t="s">
        <v>173</v>
      </c>
      <c r="B34" s="52" t="s">
        <v>655</v>
      </c>
      <c r="C34" s="52" t="s">
        <v>655</v>
      </c>
      <c r="D34" s="52" t="s">
        <v>655</v>
      </c>
      <c r="E34" s="52" t="s">
        <v>655</v>
      </c>
      <c r="F34" s="52" t="s">
        <v>655</v>
      </c>
      <c r="G34" s="53" t="s">
        <v>655</v>
      </c>
    </row>
    <row r="35" spans="1:7" x14ac:dyDescent="0.2">
      <c r="A35" s="42" t="s">
        <v>174</v>
      </c>
      <c r="B35" s="52" t="s">
        <v>655</v>
      </c>
      <c r="C35" s="52" t="s">
        <v>655</v>
      </c>
      <c r="D35" s="52" t="s">
        <v>655</v>
      </c>
      <c r="E35" s="52" t="s">
        <v>655</v>
      </c>
      <c r="F35" s="52" t="s">
        <v>655</v>
      </c>
      <c r="G35" s="53" t="s">
        <v>655</v>
      </c>
    </row>
    <row r="36" spans="1:7" x14ac:dyDescent="0.2">
      <c r="A36" s="42" t="s">
        <v>175</v>
      </c>
      <c r="B36" s="52" t="s">
        <v>655</v>
      </c>
      <c r="C36" s="52" t="s">
        <v>655</v>
      </c>
      <c r="D36" s="52" t="s">
        <v>655</v>
      </c>
      <c r="E36" s="52" t="s">
        <v>655</v>
      </c>
      <c r="F36" s="52" t="s">
        <v>655</v>
      </c>
      <c r="G36" s="53" t="s">
        <v>655</v>
      </c>
    </row>
    <row r="37" spans="1:7" x14ac:dyDescent="0.2">
      <c r="A37" s="42" t="s">
        <v>176</v>
      </c>
      <c r="B37" s="52" t="s">
        <v>655</v>
      </c>
      <c r="C37" s="52" t="s">
        <v>655</v>
      </c>
      <c r="D37" s="52" t="s">
        <v>655</v>
      </c>
      <c r="E37" s="52" t="s">
        <v>655</v>
      </c>
      <c r="F37" s="52" t="s">
        <v>655</v>
      </c>
      <c r="G37" s="53" t="s">
        <v>655</v>
      </c>
    </row>
    <row r="38" spans="1:7" x14ac:dyDescent="0.2">
      <c r="A38" s="42" t="s">
        <v>177</v>
      </c>
      <c r="B38" s="52" t="s">
        <v>655</v>
      </c>
      <c r="C38" s="52" t="s">
        <v>655</v>
      </c>
      <c r="D38" s="52" t="s">
        <v>655</v>
      </c>
      <c r="E38" s="52" t="s">
        <v>655</v>
      </c>
      <c r="F38" s="52" t="s">
        <v>655</v>
      </c>
      <c r="G38" s="53" t="s">
        <v>655</v>
      </c>
    </row>
    <row r="39" spans="1:7" x14ac:dyDescent="0.2">
      <c r="A39" s="42" t="s">
        <v>178</v>
      </c>
      <c r="B39" s="52" t="s">
        <v>630</v>
      </c>
      <c r="C39" s="52" t="s">
        <v>655</v>
      </c>
      <c r="D39" s="52" t="s">
        <v>655</v>
      </c>
      <c r="E39" s="52" t="s">
        <v>655</v>
      </c>
      <c r="F39" s="52" t="s">
        <v>655</v>
      </c>
      <c r="G39" s="54" t="s">
        <v>631</v>
      </c>
    </row>
    <row r="40" spans="1:7" x14ac:dyDescent="0.2">
      <c r="A40" s="42" t="s">
        <v>179</v>
      </c>
      <c r="B40" s="52" t="s">
        <v>655</v>
      </c>
      <c r="C40" s="52" t="s">
        <v>655</v>
      </c>
      <c r="D40" s="52" t="s">
        <v>655</v>
      </c>
      <c r="E40" s="52" t="s">
        <v>655</v>
      </c>
      <c r="F40" s="52" t="s">
        <v>655</v>
      </c>
      <c r="G40" s="53" t="s">
        <v>655</v>
      </c>
    </row>
    <row r="41" spans="1:7" x14ac:dyDescent="0.2">
      <c r="A41" s="42" t="s">
        <v>180</v>
      </c>
      <c r="B41" s="52" t="s">
        <v>655</v>
      </c>
      <c r="C41" s="52" t="s">
        <v>632</v>
      </c>
      <c r="D41" s="52" t="s">
        <v>655</v>
      </c>
      <c r="E41" s="52" t="s">
        <v>655</v>
      </c>
      <c r="F41" s="52" t="s">
        <v>632</v>
      </c>
      <c r="G41" s="53" t="s">
        <v>655</v>
      </c>
    </row>
    <row r="42" spans="1:7" x14ac:dyDescent="0.2">
      <c r="A42" s="42" t="s">
        <v>181</v>
      </c>
      <c r="B42" s="52" t="s">
        <v>655</v>
      </c>
      <c r="C42" s="52" t="s">
        <v>633</v>
      </c>
      <c r="D42" s="52" t="s">
        <v>655</v>
      </c>
      <c r="E42" s="52" t="s">
        <v>655</v>
      </c>
      <c r="F42" s="52" t="s">
        <v>633</v>
      </c>
      <c r="G42" s="53" t="s">
        <v>655</v>
      </c>
    </row>
    <row r="43" spans="1:7" x14ac:dyDescent="0.2">
      <c r="A43" s="42" t="s">
        <v>182</v>
      </c>
      <c r="B43" s="52" t="s">
        <v>655</v>
      </c>
      <c r="C43" s="52" t="s">
        <v>655</v>
      </c>
      <c r="D43" s="52" t="s">
        <v>655</v>
      </c>
      <c r="E43" s="52" t="s">
        <v>655</v>
      </c>
      <c r="F43" s="52" t="s">
        <v>655</v>
      </c>
      <c r="G43" s="53" t="s">
        <v>655</v>
      </c>
    </row>
    <row r="44" spans="1:7" x14ac:dyDescent="0.2">
      <c r="A44" s="42" t="s">
        <v>183</v>
      </c>
      <c r="B44" s="52" t="s">
        <v>655</v>
      </c>
      <c r="C44" s="52" t="s">
        <v>655</v>
      </c>
      <c r="D44" s="52" t="s">
        <v>655</v>
      </c>
      <c r="E44" s="52" t="s">
        <v>655</v>
      </c>
      <c r="F44" s="52" t="s">
        <v>655</v>
      </c>
      <c r="G44" s="53" t="s">
        <v>655</v>
      </c>
    </row>
    <row r="45" spans="1:7" x14ac:dyDescent="0.2">
      <c r="A45" s="42" t="s">
        <v>184</v>
      </c>
      <c r="B45" s="52" t="s">
        <v>655</v>
      </c>
      <c r="C45" s="52" t="s">
        <v>655</v>
      </c>
      <c r="D45" s="52" t="s">
        <v>655</v>
      </c>
      <c r="E45" s="52" t="s">
        <v>655</v>
      </c>
      <c r="F45" s="52" t="s">
        <v>655</v>
      </c>
      <c r="G45" s="53" t="s">
        <v>655</v>
      </c>
    </row>
    <row r="46" spans="1:7" x14ac:dyDescent="0.2">
      <c r="A46" s="42" t="s">
        <v>185</v>
      </c>
      <c r="B46" s="52" t="s">
        <v>634</v>
      </c>
      <c r="C46" s="52" t="s">
        <v>635</v>
      </c>
      <c r="D46" s="52" t="s">
        <v>655</v>
      </c>
      <c r="E46" s="52" t="s">
        <v>655</v>
      </c>
      <c r="F46" s="52" t="s">
        <v>635</v>
      </c>
      <c r="G46" s="54" t="s">
        <v>636</v>
      </c>
    </row>
    <row r="47" spans="1:7" x14ac:dyDescent="0.2">
      <c r="A47" s="42" t="s">
        <v>186</v>
      </c>
      <c r="B47" s="52" t="s">
        <v>655</v>
      </c>
      <c r="C47" s="52" t="s">
        <v>655</v>
      </c>
      <c r="D47" s="52" t="s">
        <v>655</v>
      </c>
      <c r="E47" s="52" t="s">
        <v>655</v>
      </c>
      <c r="F47" s="52" t="s">
        <v>655</v>
      </c>
      <c r="G47" s="53" t="s">
        <v>655</v>
      </c>
    </row>
    <row r="48" spans="1:7" x14ac:dyDescent="0.2">
      <c r="A48" s="42" t="s">
        <v>187</v>
      </c>
      <c r="B48" s="52" t="s">
        <v>637</v>
      </c>
      <c r="C48" s="52" t="s">
        <v>655</v>
      </c>
      <c r="D48" s="52" t="s">
        <v>655</v>
      </c>
      <c r="E48" s="52" t="s">
        <v>655</v>
      </c>
      <c r="F48" s="52" t="s">
        <v>655</v>
      </c>
      <c r="G48" s="53" t="s">
        <v>655</v>
      </c>
    </row>
    <row r="49" spans="1:7" x14ac:dyDescent="0.2">
      <c r="A49" s="42" t="s">
        <v>188</v>
      </c>
      <c r="B49" s="52" t="s">
        <v>655</v>
      </c>
      <c r="C49" s="52" t="s">
        <v>638</v>
      </c>
      <c r="D49" s="52" t="s">
        <v>655</v>
      </c>
      <c r="E49" s="52" t="s">
        <v>655</v>
      </c>
      <c r="F49" s="52" t="s">
        <v>638</v>
      </c>
      <c r="G49" s="54" t="s">
        <v>639</v>
      </c>
    </row>
    <row r="50" spans="1:7" x14ac:dyDescent="0.2">
      <c r="A50" s="42" t="s">
        <v>189</v>
      </c>
      <c r="B50" s="52" t="s">
        <v>655</v>
      </c>
      <c r="C50" s="52" t="s">
        <v>655</v>
      </c>
      <c r="D50" s="52" t="s">
        <v>655</v>
      </c>
      <c r="E50" s="52" t="s">
        <v>655</v>
      </c>
      <c r="F50" s="52" t="s">
        <v>655</v>
      </c>
      <c r="G50" s="53" t="s">
        <v>655</v>
      </c>
    </row>
    <row r="51" spans="1:7" x14ac:dyDescent="0.2">
      <c r="A51" s="42" t="s">
        <v>190</v>
      </c>
      <c r="B51" s="52" t="s">
        <v>655</v>
      </c>
      <c r="C51" s="52" t="s">
        <v>655</v>
      </c>
      <c r="D51" s="52" t="s">
        <v>655</v>
      </c>
      <c r="E51" s="52" t="s">
        <v>655</v>
      </c>
      <c r="F51" s="52" t="s">
        <v>655</v>
      </c>
      <c r="G51" s="53" t="s">
        <v>655</v>
      </c>
    </row>
    <row r="52" spans="1:7" x14ac:dyDescent="0.2">
      <c r="A52" s="42" t="s">
        <v>191</v>
      </c>
      <c r="B52" s="52" t="s">
        <v>655</v>
      </c>
      <c r="C52" s="52" t="s">
        <v>655</v>
      </c>
      <c r="D52" s="52" t="s">
        <v>655</v>
      </c>
      <c r="E52" s="52" t="s">
        <v>655</v>
      </c>
      <c r="F52" s="52" t="s">
        <v>655</v>
      </c>
      <c r="G52" s="53" t="s">
        <v>655</v>
      </c>
    </row>
    <row r="53" spans="1:7" x14ac:dyDescent="0.2">
      <c r="A53" s="42" t="s">
        <v>192</v>
      </c>
      <c r="B53" s="52" t="s">
        <v>655</v>
      </c>
      <c r="C53" s="52" t="s">
        <v>655</v>
      </c>
      <c r="D53" s="52" t="s">
        <v>655</v>
      </c>
      <c r="E53" s="52" t="s">
        <v>655</v>
      </c>
      <c r="F53" s="52" t="s">
        <v>655</v>
      </c>
      <c r="G53" s="53" t="s">
        <v>655</v>
      </c>
    </row>
    <row r="54" spans="1:7" x14ac:dyDescent="0.2">
      <c r="A54" s="42" t="s">
        <v>193</v>
      </c>
      <c r="B54" s="52" t="s">
        <v>655</v>
      </c>
      <c r="C54" s="52" t="s">
        <v>640</v>
      </c>
      <c r="D54" s="52" t="s">
        <v>655</v>
      </c>
      <c r="E54" s="52" t="s">
        <v>655</v>
      </c>
      <c r="F54" s="52" t="s">
        <v>640</v>
      </c>
      <c r="G54" s="53" t="s">
        <v>655</v>
      </c>
    </row>
    <row r="55" spans="1:7" x14ac:dyDescent="0.2">
      <c r="A55" s="42" t="s">
        <v>194</v>
      </c>
      <c r="B55" s="52" t="s">
        <v>655</v>
      </c>
      <c r="C55" s="52" t="s">
        <v>641</v>
      </c>
      <c r="D55" s="52" t="s">
        <v>655</v>
      </c>
      <c r="E55" s="52" t="s">
        <v>655</v>
      </c>
      <c r="F55" s="52" t="s">
        <v>641</v>
      </c>
      <c r="G55" s="54" t="s">
        <v>642</v>
      </c>
    </row>
    <row r="56" spans="1:7" x14ac:dyDescent="0.2">
      <c r="A56" s="42" t="s">
        <v>195</v>
      </c>
      <c r="B56" s="52" t="s">
        <v>655</v>
      </c>
      <c r="C56" s="52" t="s">
        <v>655</v>
      </c>
      <c r="D56" s="52" t="s">
        <v>655</v>
      </c>
      <c r="E56" s="52" t="s">
        <v>655</v>
      </c>
      <c r="F56" s="52" t="s">
        <v>655</v>
      </c>
      <c r="G56" s="53" t="s">
        <v>655</v>
      </c>
    </row>
    <row r="57" spans="1:7" x14ac:dyDescent="0.2">
      <c r="A57" s="42" t="s">
        <v>196</v>
      </c>
      <c r="B57" s="52" t="s">
        <v>655</v>
      </c>
      <c r="C57" s="52" t="s">
        <v>643</v>
      </c>
      <c r="D57" s="52" t="s">
        <v>655</v>
      </c>
      <c r="E57" s="52" t="s">
        <v>655</v>
      </c>
      <c r="F57" s="52" t="s">
        <v>643</v>
      </c>
      <c r="G57" s="54" t="s">
        <v>644</v>
      </c>
    </row>
    <row r="58" spans="1:7" x14ac:dyDescent="0.2">
      <c r="A58" s="42" t="s">
        <v>197</v>
      </c>
      <c r="B58" s="52" t="s">
        <v>655</v>
      </c>
      <c r="C58" s="52" t="s">
        <v>655</v>
      </c>
      <c r="D58" s="52" t="s">
        <v>655</v>
      </c>
      <c r="E58" s="52" t="s">
        <v>655</v>
      </c>
      <c r="F58" s="52" t="s">
        <v>655</v>
      </c>
      <c r="G58" s="53" t="s">
        <v>655</v>
      </c>
    </row>
    <row r="59" spans="1:7" x14ac:dyDescent="0.2">
      <c r="A59" s="42" t="s">
        <v>198</v>
      </c>
      <c r="B59" s="52" t="s">
        <v>655</v>
      </c>
      <c r="C59" s="52" t="s">
        <v>645</v>
      </c>
      <c r="D59" s="52" t="s">
        <v>655</v>
      </c>
      <c r="E59" s="52" t="s">
        <v>655</v>
      </c>
      <c r="F59" s="52" t="s">
        <v>645</v>
      </c>
      <c r="G59" s="54" t="s">
        <v>646</v>
      </c>
    </row>
    <row r="60" spans="1:7" x14ac:dyDescent="0.2">
      <c r="A60" s="42" t="s">
        <v>199</v>
      </c>
      <c r="B60" s="52" t="s">
        <v>647</v>
      </c>
      <c r="C60" s="52" t="s">
        <v>648</v>
      </c>
      <c r="D60" s="52" t="s">
        <v>655</v>
      </c>
      <c r="E60" s="52" t="s">
        <v>655</v>
      </c>
      <c r="F60" s="52" t="s">
        <v>648</v>
      </c>
      <c r="G60" s="54" t="s">
        <v>649</v>
      </c>
    </row>
    <row r="61" spans="1:7" x14ac:dyDescent="0.2">
      <c r="A61" s="42" t="s">
        <v>200</v>
      </c>
      <c r="B61" s="52" t="s">
        <v>655</v>
      </c>
      <c r="C61" s="52" t="s">
        <v>655</v>
      </c>
      <c r="D61" s="52" t="s">
        <v>655</v>
      </c>
      <c r="E61" s="52" t="s">
        <v>655</v>
      </c>
      <c r="F61" s="52" t="s">
        <v>655</v>
      </c>
      <c r="G61" s="53" t="s">
        <v>655</v>
      </c>
    </row>
    <row r="62" spans="1:7" x14ac:dyDescent="0.2">
      <c r="A62" s="42" t="s">
        <v>201</v>
      </c>
      <c r="B62" s="52" t="s">
        <v>650</v>
      </c>
      <c r="C62" s="52" t="s">
        <v>651</v>
      </c>
      <c r="D62" s="52" t="s">
        <v>655</v>
      </c>
      <c r="E62" s="52" t="s">
        <v>655</v>
      </c>
      <c r="F62" s="52" t="s">
        <v>651</v>
      </c>
      <c r="G62" s="54" t="s">
        <v>652</v>
      </c>
    </row>
    <row r="63" spans="1:7" x14ac:dyDescent="0.2">
      <c r="A63" s="42" t="s">
        <v>202</v>
      </c>
      <c r="B63" s="52" t="s">
        <v>655</v>
      </c>
      <c r="C63" s="52" t="s">
        <v>655</v>
      </c>
      <c r="D63" s="52" t="s">
        <v>655</v>
      </c>
      <c r="E63" s="52" t="s">
        <v>655</v>
      </c>
      <c r="F63" s="52" t="s">
        <v>655</v>
      </c>
      <c r="G63" s="53" t="s">
        <v>655</v>
      </c>
    </row>
    <row r="64" spans="1:7" x14ac:dyDescent="0.2">
      <c r="A64" s="42" t="s">
        <v>203</v>
      </c>
      <c r="B64" s="52" t="s">
        <v>655</v>
      </c>
      <c r="C64" s="52" t="s">
        <v>655</v>
      </c>
      <c r="D64" s="52" t="s">
        <v>655</v>
      </c>
      <c r="E64" s="52" t="s">
        <v>655</v>
      </c>
      <c r="F64" s="52" t="s">
        <v>653</v>
      </c>
      <c r="G64" s="54" t="s">
        <v>654</v>
      </c>
    </row>
    <row r="65" spans="1:8" ht="15" customHeight="1" x14ac:dyDescent="0.2">
      <c r="A65" s="44" t="s">
        <v>204</v>
      </c>
      <c r="B65" s="45">
        <v>4748897</v>
      </c>
      <c r="C65" s="45">
        <v>23994010</v>
      </c>
      <c r="D65" s="45">
        <f>SUM(D6:D64)</f>
        <v>0</v>
      </c>
      <c r="E65" s="45">
        <f>SUM(E6:E64)</f>
        <v>0</v>
      </c>
      <c r="F65" s="45">
        <v>23994010</v>
      </c>
      <c r="G65" s="51">
        <v>2275724</v>
      </c>
      <c r="H65" s="47"/>
    </row>
    <row r="66" spans="1:8"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pageSetup orientation="portrait" horizontalDpi="1200" verticalDpi="1200" r:id="rId1"/>
  <ignoredErrors>
    <ignoredError sqref="C7 B10:C10 C9 B15:C15 B39 B24 C41 C42 B46:C46 C49 B48 C55 C54 C57 B60:C60 B62:C62 F64:G64 C17 C16 C21 C31 C33 C59 F62:G62 F60:G60 G39 F7:G7 F9 F10:G10 F15:G15 F17:G17 F16:G16 F21 F41 F31 F33 F42 F46:G46 F49:G49 F55:G55 F54 F57:G57 F59:G59" numberStoredAsText="1"/>
  </ignoredError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237</v>
      </c>
      <c r="B1" s="16"/>
      <c r="C1" s="16"/>
      <c r="D1" s="16"/>
      <c r="E1" s="16"/>
      <c r="F1" s="16"/>
      <c r="G1" s="15" t="s">
        <v>240</v>
      </c>
    </row>
    <row r="2" spans="1:7" x14ac:dyDescent="0.2">
      <c r="A2" s="17" t="s">
        <v>352</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15369</v>
      </c>
      <c r="C6" s="20">
        <v>2408</v>
      </c>
      <c r="D6" s="20">
        <v>13160</v>
      </c>
      <c r="E6" s="20">
        <v>0</v>
      </c>
      <c r="F6" s="20">
        <v>15568</v>
      </c>
      <c r="G6" s="43" t="s">
        <v>497</v>
      </c>
    </row>
    <row r="7" spans="1:7" x14ac:dyDescent="0.2">
      <c r="A7" s="42" t="s">
        <v>146</v>
      </c>
      <c r="B7" s="20">
        <v>3377</v>
      </c>
      <c r="C7" s="20">
        <v>737</v>
      </c>
      <c r="D7" s="20">
        <v>2802</v>
      </c>
      <c r="E7" s="20">
        <v>0</v>
      </c>
      <c r="F7" s="20">
        <v>3540</v>
      </c>
      <c r="G7" s="43" t="s">
        <v>498</v>
      </c>
    </row>
    <row r="8" spans="1:7" x14ac:dyDescent="0.2">
      <c r="A8" s="42" t="s">
        <v>147</v>
      </c>
      <c r="B8" s="20">
        <v>9793</v>
      </c>
      <c r="C8" s="20">
        <v>17441</v>
      </c>
      <c r="D8" s="20">
        <v>17070</v>
      </c>
      <c r="E8" s="20">
        <v>0</v>
      </c>
      <c r="F8" s="20">
        <v>34510</v>
      </c>
      <c r="G8" s="43" t="s">
        <v>499</v>
      </c>
    </row>
    <row r="9" spans="1:7" x14ac:dyDescent="0.2">
      <c r="A9" s="42" t="s">
        <v>148</v>
      </c>
      <c r="B9" s="20">
        <v>12215</v>
      </c>
      <c r="C9" s="20">
        <v>48</v>
      </c>
      <c r="D9" s="20">
        <v>8848</v>
      </c>
      <c r="E9" s="20">
        <v>0</v>
      </c>
      <c r="F9" s="20">
        <v>8896</v>
      </c>
      <c r="G9" s="43" t="s">
        <v>500</v>
      </c>
    </row>
    <row r="10" spans="1:7" x14ac:dyDescent="0.2">
      <c r="A10" s="42" t="s">
        <v>149</v>
      </c>
      <c r="B10" s="20">
        <v>185757</v>
      </c>
      <c r="C10" s="20">
        <v>60798</v>
      </c>
      <c r="D10" s="20">
        <v>136882</v>
      </c>
      <c r="E10" s="20">
        <v>0</v>
      </c>
      <c r="F10" s="20">
        <v>197679</v>
      </c>
      <c r="G10" s="43" t="s">
        <v>501</v>
      </c>
    </row>
    <row r="11" spans="1:7" x14ac:dyDescent="0.2">
      <c r="A11" s="42" t="s">
        <v>150</v>
      </c>
      <c r="B11" s="20">
        <v>15678</v>
      </c>
      <c r="C11" s="20">
        <v>2943</v>
      </c>
      <c r="D11" s="20">
        <v>13708</v>
      </c>
      <c r="E11" s="20">
        <v>0</v>
      </c>
      <c r="F11" s="20">
        <v>16651</v>
      </c>
      <c r="G11" s="43" t="s">
        <v>502</v>
      </c>
    </row>
    <row r="12" spans="1:7" x14ac:dyDescent="0.2">
      <c r="A12" s="42" t="s">
        <v>151</v>
      </c>
      <c r="B12" s="20">
        <v>4564</v>
      </c>
      <c r="C12" s="20">
        <v>10829</v>
      </c>
      <c r="D12" s="20">
        <v>11747</v>
      </c>
      <c r="E12" s="20">
        <v>0</v>
      </c>
      <c r="F12" s="20">
        <v>22576</v>
      </c>
      <c r="G12" s="43" t="s">
        <v>503</v>
      </c>
    </row>
    <row r="13" spans="1:7" x14ac:dyDescent="0.2">
      <c r="A13" s="42" t="s">
        <v>152</v>
      </c>
      <c r="B13" s="20">
        <v>4561</v>
      </c>
      <c r="C13" s="20">
        <v>17</v>
      </c>
      <c r="D13" s="20">
        <v>3433</v>
      </c>
      <c r="E13" s="20">
        <v>0</v>
      </c>
      <c r="F13" s="20">
        <v>3450</v>
      </c>
      <c r="G13" s="43" t="s">
        <v>504</v>
      </c>
    </row>
    <row r="14" spans="1:7" x14ac:dyDescent="0.2">
      <c r="A14" s="42" t="s">
        <v>153</v>
      </c>
      <c r="B14" s="20">
        <v>5244</v>
      </c>
      <c r="C14" s="20">
        <v>5606</v>
      </c>
      <c r="D14" s="20">
        <v>4167</v>
      </c>
      <c r="E14" s="20">
        <v>0</v>
      </c>
      <c r="F14" s="20">
        <v>9772</v>
      </c>
      <c r="G14" s="43" t="s">
        <v>505</v>
      </c>
    </row>
    <row r="15" spans="1:7" x14ac:dyDescent="0.2">
      <c r="A15" s="42" t="s">
        <v>154</v>
      </c>
      <c r="B15" s="20">
        <v>49758</v>
      </c>
      <c r="C15" s="20">
        <v>56568</v>
      </c>
      <c r="D15" s="20">
        <v>51572</v>
      </c>
      <c r="E15" s="20">
        <v>0</v>
      </c>
      <c r="F15" s="20">
        <v>108140</v>
      </c>
      <c r="G15" s="43" t="s">
        <v>506</v>
      </c>
    </row>
    <row r="16" spans="1:7" x14ac:dyDescent="0.2">
      <c r="A16" s="42" t="s">
        <v>155</v>
      </c>
      <c r="B16" s="20">
        <v>32625</v>
      </c>
      <c r="C16" s="20">
        <v>9823</v>
      </c>
      <c r="D16" s="20">
        <v>28548</v>
      </c>
      <c r="E16" s="20">
        <v>0</v>
      </c>
      <c r="F16" s="20">
        <v>38372</v>
      </c>
      <c r="G16" s="43" t="s">
        <v>507</v>
      </c>
    </row>
    <row r="17" spans="1:7" x14ac:dyDescent="0.2">
      <c r="A17" s="42" t="s">
        <v>156</v>
      </c>
      <c r="B17" s="20">
        <v>6096</v>
      </c>
      <c r="C17" s="20">
        <v>23</v>
      </c>
      <c r="D17" s="20">
        <v>4536</v>
      </c>
      <c r="E17" s="20">
        <v>0</v>
      </c>
      <c r="F17" s="20">
        <v>4559</v>
      </c>
      <c r="G17" s="43" t="s">
        <v>508</v>
      </c>
    </row>
    <row r="18" spans="1:7" x14ac:dyDescent="0.2">
      <c r="A18" s="42" t="s">
        <v>157</v>
      </c>
      <c r="B18" s="20">
        <v>6026</v>
      </c>
      <c r="C18" s="20">
        <v>25</v>
      </c>
      <c r="D18" s="20">
        <v>4528</v>
      </c>
      <c r="E18" s="20">
        <v>0</v>
      </c>
      <c r="F18" s="20">
        <v>4553</v>
      </c>
      <c r="G18" s="43" t="s">
        <v>509</v>
      </c>
    </row>
    <row r="19" spans="1:7" x14ac:dyDescent="0.2">
      <c r="A19" s="42" t="s">
        <v>158</v>
      </c>
      <c r="B19" s="20">
        <v>36521</v>
      </c>
      <c r="C19" s="20">
        <v>29474</v>
      </c>
      <c r="D19" s="20">
        <v>41780</v>
      </c>
      <c r="E19" s="20">
        <v>0</v>
      </c>
      <c r="F19" s="20">
        <v>71254</v>
      </c>
      <c r="G19" s="43" t="s">
        <v>510</v>
      </c>
    </row>
    <row r="20" spans="1:7" x14ac:dyDescent="0.2">
      <c r="A20" s="42" t="s">
        <v>159</v>
      </c>
      <c r="B20" s="20">
        <v>25657</v>
      </c>
      <c r="C20" s="20">
        <v>777</v>
      </c>
      <c r="D20" s="20">
        <v>19751</v>
      </c>
      <c r="E20" s="20">
        <v>0</v>
      </c>
      <c r="F20" s="20">
        <v>20528</v>
      </c>
      <c r="G20" s="43" t="s">
        <v>511</v>
      </c>
    </row>
    <row r="21" spans="1:7" x14ac:dyDescent="0.2">
      <c r="A21" s="42" t="s">
        <v>160</v>
      </c>
      <c r="B21" s="20">
        <v>11612</v>
      </c>
      <c r="C21" s="20">
        <v>1001</v>
      </c>
      <c r="D21" s="20">
        <v>8638</v>
      </c>
      <c r="E21" s="20">
        <v>0</v>
      </c>
      <c r="F21" s="20">
        <v>9639</v>
      </c>
      <c r="G21" s="43" t="s">
        <v>512</v>
      </c>
    </row>
    <row r="22" spans="1:7" x14ac:dyDescent="0.2">
      <c r="A22" s="42" t="s">
        <v>161</v>
      </c>
      <c r="B22" s="20">
        <v>10074</v>
      </c>
      <c r="C22" s="20">
        <v>1577</v>
      </c>
      <c r="D22" s="20">
        <v>8003</v>
      </c>
      <c r="E22" s="20">
        <v>0</v>
      </c>
      <c r="F22" s="20">
        <v>9580</v>
      </c>
      <c r="G22" s="43" t="s">
        <v>513</v>
      </c>
    </row>
    <row r="23" spans="1:7" x14ac:dyDescent="0.2">
      <c r="A23" s="42" t="s">
        <v>162</v>
      </c>
      <c r="B23" s="20">
        <v>3389</v>
      </c>
      <c r="C23" s="20">
        <v>15812</v>
      </c>
      <c r="D23" s="20">
        <v>14415</v>
      </c>
      <c r="E23" s="20">
        <v>0</v>
      </c>
      <c r="F23" s="20">
        <v>30226</v>
      </c>
      <c r="G23" s="43" t="s">
        <v>514</v>
      </c>
    </row>
    <row r="24" spans="1:7" x14ac:dyDescent="0.2">
      <c r="A24" s="42" t="s">
        <v>163</v>
      </c>
      <c r="B24" s="20">
        <v>17503</v>
      </c>
      <c r="C24" s="20">
        <v>5872</v>
      </c>
      <c r="D24" s="20">
        <v>14281</v>
      </c>
      <c r="E24" s="20">
        <v>0</v>
      </c>
      <c r="F24" s="20">
        <v>20152</v>
      </c>
      <c r="G24" s="43" t="s">
        <v>515</v>
      </c>
    </row>
    <row r="25" spans="1:7" x14ac:dyDescent="0.2">
      <c r="A25" s="42" t="s">
        <v>164</v>
      </c>
      <c r="B25" s="20">
        <v>5331</v>
      </c>
      <c r="C25" s="20">
        <v>514</v>
      </c>
      <c r="D25" s="20">
        <v>4254</v>
      </c>
      <c r="E25" s="20">
        <v>0</v>
      </c>
      <c r="F25" s="20">
        <v>4769</v>
      </c>
      <c r="G25" s="43" t="s">
        <v>516</v>
      </c>
    </row>
    <row r="26" spans="1:7" x14ac:dyDescent="0.2">
      <c r="A26" s="42" t="s">
        <v>165</v>
      </c>
      <c r="B26" s="20">
        <v>3338</v>
      </c>
      <c r="C26" s="20">
        <v>14771</v>
      </c>
      <c r="D26" s="20">
        <v>13951</v>
      </c>
      <c r="E26" s="20">
        <v>0</v>
      </c>
      <c r="F26" s="20">
        <v>28722</v>
      </c>
      <c r="G26" s="43" t="s">
        <v>517</v>
      </c>
    </row>
    <row r="27" spans="1:7" x14ac:dyDescent="0.2">
      <c r="A27" s="42" t="s">
        <v>166</v>
      </c>
      <c r="B27" s="20">
        <v>19964</v>
      </c>
      <c r="C27" s="20">
        <v>15447</v>
      </c>
      <c r="D27" s="20">
        <v>25601</v>
      </c>
      <c r="E27" s="20">
        <v>0</v>
      </c>
      <c r="F27" s="20">
        <v>41048</v>
      </c>
      <c r="G27" s="43" t="s">
        <v>518</v>
      </c>
    </row>
    <row r="28" spans="1:7" x14ac:dyDescent="0.2">
      <c r="A28" s="42" t="s">
        <v>167</v>
      </c>
      <c r="B28" s="20">
        <v>22815</v>
      </c>
      <c r="C28" s="20">
        <v>28521</v>
      </c>
      <c r="D28" s="20">
        <v>30773</v>
      </c>
      <c r="E28" s="20">
        <v>0</v>
      </c>
      <c r="F28" s="20">
        <v>59294</v>
      </c>
      <c r="G28" s="43" t="s">
        <v>519</v>
      </c>
    </row>
    <row r="29" spans="1:7" x14ac:dyDescent="0.2">
      <c r="A29" s="42" t="s">
        <v>168</v>
      </c>
      <c r="B29" s="20">
        <v>18410</v>
      </c>
      <c r="C29" s="20">
        <v>71</v>
      </c>
      <c r="D29" s="20">
        <v>13624</v>
      </c>
      <c r="E29" s="20">
        <v>0</v>
      </c>
      <c r="F29" s="20">
        <v>13695</v>
      </c>
      <c r="G29" s="43" t="s">
        <v>520</v>
      </c>
    </row>
    <row r="30" spans="1:7" x14ac:dyDescent="0.2">
      <c r="A30" s="42" t="s">
        <v>169</v>
      </c>
      <c r="B30" s="20">
        <v>1982</v>
      </c>
      <c r="C30" s="20">
        <v>11729</v>
      </c>
      <c r="D30" s="20">
        <v>8924</v>
      </c>
      <c r="E30" s="20">
        <v>0</v>
      </c>
      <c r="F30" s="20">
        <v>20654</v>
      </c>
      <c r="G30" s="43" t="s">
        <v>521</v>
      </c>
    </row>
    <row r="31" spans="1:7" x14ac:dyDescent="0.2">
      <c r="A31" s="42" t="s">
        <v>170</v>
      </c>
      <c r="B31" s="20">
        <v>5332</v>
      </c>
      <c r="C31" s="20">
        <v>18935</v>
      </c>
      <c r="D31" s="20">
        <v>18026</v>
      </c>
      <c r="E31" s="20">
        <v>0</v>
      </c>
      <c r="F31" s="20">
        <v>36960</v>
      </c>
      <c r="G31" s="43" t="s">
        <v>522</v>
      </c>
    </row>
    <row r="32" spans="1:7" x14ac:dyDescent="0.2">
      <c r="A32" s="42" t="s">
        <v>171</v>
      </c>
      <c r="B32" s="20">
        <v>743</v>
      </c>
      <c r="C32" s="20">
        <v>3431</v>
      </c>
      <c r="D32" s="20">
        <v>3045</v>
      </c>
      <c r="E32" s="20">
        <v>0</v>
      </c>
      <c r="F32" s="20">
        <v>6476</v>
      </c>
      <c r="G32" s="43" t="s">
        <v>523</v>
      </c>
    </row>
    <row r="33" spans="1:7" x14ac:dyDescent="0.2">
      <c r="A33" s="42" t="s">
        <v>172</v>
      </c>
      <c r="B33" s="20">
        <v>9586</v>
      </c>
      <c r="C33" s="20">
        <v>29</v>
      </c>
      <c r="D33" s="20">
        <v>5576</v>
      </c>
      <c r="E33" s="20">
        <v>0</v>
      </c>
      <c r="F33" s="20">
        <v>5605</v>
      </c>
      <c r="G33" s="43" t="s">
        <v>524</v>
      </c>
    </row>
    <row r="34" spans="1:7" x14ac:dyDescent="0.2">
      <c r="A34" s="42" t="s">
        <v>173</v>
      </c>
      <c r="B34" s="20">
        <v>14192</v>
      </c>
      <c r="C34" s="20">
        <v>2146</v>
      </c>
      <c r="D34" s="20">
        <v>8564</v>
      </c>
      <c r="E34" s="20">
        <v>0</v>
      </c>
      <c r="F34" s="20">
        <v>10710</v>
      </c>
      <c r="G34" s="43" t="s">
        <v>525</v>
      </c>
    </row>
    <row r="35" spans="1:7" x14ac:dyDescent="0.2">
      <c r="A35" s="42" t="s">
        <v>174</v>
      </c>
      <c r="B35" s="20">
        <v>4956</v>
      </c>
      <c r="C35" s="20">
        <v>20</v>
      </c>
      <c r="D35" s="20">
        <v>3655</v>
      </c>
      <c r="E35" s="20">
        <v>0</v>
      </c>
      <c r="F35" s="20">
        <v>3674</v>
      </c>
      <c r="G35" s="43" t="s">
        <v>526</v>
      </c>
    </row>
    <row r="36" spans="1:7" x14ac:dyDescent="0.2">
      <c r="A36" s="42" t="s">
        <v>175</v>
      </c>
      <c r="B36" s="20">
        <v>19693</v>
      </c>
      <c r="C36" s="20">
        <v>17770</v>
      </c>
      <c r="D36" s="20">
        <v>26576</v>
      </c>
      <c r="E36" s="20">
        <v>0</v>
      </c>
      <c r="F36" s="20">
        <v>44346</v>
      </c>
      <c r="G36" s="43" t="s">
        <v>527</v>
      </c>
    </row>
    <row r="37" spans="1:7" x14ac:dyDescent="0.2">
      <c r="A37" s="42" t="s">
        <v>176</v>
      </c>
      <c r="B37" s="20">
        <v>7760</v>
      </c>
      <c r="C37" s="20">
        <v>31</v>
      </c>
      <c r="D37" s="20">
        <v>5842</v>
      </c>
      <c r="E37" s="20">
        <v>0</v>
      </c>
      <c r="F37" s="20">
        <v>5873</v>
      </c>
      <c r="G37" s="43" t="s">
        <v>528</v>
      </c>
    </row>
    <row r="38" spans="1:7" x14ac:dyDescent="0.2">
      <c r="A38" s="42" t="s">
        <v>177</v>
      </c>
      <c r="B38" s="20">
        <v>124994</v>
      </c>
      <c r="C38" s="20">
        <v>35655</v>
      </c>
      <c r="D38" s="20">
        <v>95403</v>
      </c>
      <c r="E38" s="20">
        <v>0</v>
      </c>
      <c r="F38" s="20">
        <v>131058</v>
      </c>
      <c r="G38" s="43" t="s">
        <v>529</v>
      </c>
    </row>
    <row r="39" spans="1:7" x14ac:dyDescent="0.2">
      <c r="A39" s="42" t="s">
        <v>178</v>
      </c>
      <c r="B39" s="20">
        <v>33637</v>
      </c>
      <c r="C39" s="20">
        <v>5094</v>
      </c>
      <c r="D39" s="20">
        <v>28036</v>
      </c>
      <c r="E39" s="20">
        <v>0</v>
      </c>
      <c r="F39" s="20">
        <v>33130</v>
      </c>
      <c r="G39" s="43" t="s">
        <v>530</v>
      </c>
    </row>
    <row r="40" spans="1:7" x14ac:dyDescent="0.2">
      <c r="A40" s="42" t="s">
        <v>179</v>
      </c>
      <c r="B40" s="20">
        <v>3000</v>
      </c>
      <c r="C40" s="20">
        <v>508</v>
      </c>
      <c r="D40" s="20">
        <v>2593</v>
      </c>
      <c r="E40" s="20">
        <v>0</v>
      </c>
      <c r="F40" s="20">
        <v>3101</v>
      </c>
      <c r="G40" s="43" t="s">
        <v>531</v>
      </c>
    </row>
    <row r="41" spans="1:7" x14ac:dyDescent="0.2">
      <c r="A41" s="42" t="s">
        <v>180</v>
      </c>
      <c r="B41" s="20">
        <v>53116</v>
      </c>
      <c r="C41" s="20">
        <v>5881</v>
      </c>
      <c r="D41" s="20">
        <v>40977</v>
      </c>
      <c r="E41" s="20">
        <v>0</v>
      </c>
      <c r="F41" s="20">
        <v>46858</v>
      </c>
      <c r="G41" s="43" t="s">
        <v>532</v>
      </c>
    </row>
    <row r="42" spans="1:7" x14ac:dyDescent="0.2">
      <c r="A42" s="42" t="s">
        <v>181</v>
      </c>
      <c r="B42" s="20">
        <v>14600</v>
      </c>
      <c r="C42" s="20">
        <v>58</v>
      </c>
      <c r="D42" s="20">
        <v>10987</v>
      </c>
      <c r="E42" s="20">
        <v>0</v>
      </c>
      <c r="F42" s="20">
        <v>11046</v>
      </c>
      <c r="G42" s="43" t="s">
        <v>533</v>
      </c>
    </row>
    <row r="43" spans="1:7" x14ac:dyDescent="0.2">
      <c r="A43" s="42" t="s">
        <v>182</v>
      </c>
      <c r="B43" s="20">
        <v>18349</v>
      </c>
      <c r="C43" s="20">
        <v>72</v>
      </c>
      <c r="D43" s="20">
        <v>13605</v>
      </c>
      <c r="E43" s="20">
        <v>0</v>
      </c>
      <c r="F43" s="20">
        <v>13676</v>
      </c>
      <c r="G43" s="43" t="s">
        <v>534</v>
      </c>
    </row>
    <row r="44" spans="1:7" x14ac:dyDescent="0.2">
      <c r="A44" s="42" t="s">
        <v>183</v>
      </c>
      <c r="B44" s="20">
        <v>54646</v>
      </c>
      <c r="C44" s="20">
        <v>3391</v>
      </c>
      <c r="D44" s="20">
        <v>42243</v>
      </c>
      <c r="E44" s="20">
        <v>0</v>
      </c>
      <c r="F44" s="20">
        <v>45634</v>
      </c>
      <c r="G44" s="43" t="s">
        <v>535</v>
      </c>
    </row>
    <row r="45" spans="1:7" x14ac:dyDescent="0.2">
      <c r="A45" s="42" t="s">
        <v>184</v>
      </c>
      <c r="B45" s="20">
        <v>8533</v>
      </c>
      <c r="C45" s="20">
        <v>1677</v>
      </c>
      <c r="D45" s="20">
        <v>4708</v>
      </c>
      <c r="E45" s="20">
        <v>0</v>
      </c>
      <c r="F45" s="20">
        <v>6385</v>
      </c>
      <c r="G45" s="43" t="s">
        <v>536</v>
      </c>
    </row>
    <row r="46" spans="1:7" x14ac:dyDescent="0.2">
      <c r="A46" s="42" t="s">
        <v>185</v>
      </c>
      <c r="B46" s="20">
        <v>17036</v>
      </c>
      <c r="C46" s="20">
        <v>821</v>
      </c>
      <c r="D46" s="20">
        <v>12759</v>
      </c>
      <c r="E46" s="20">
        <v>0</v>
      </c>
      <c r="F46" s="20">
        <v>13580</v>
      </c>
      <c r="G46" s="43" t="s">
        <v>537</v>
      </c>
    </row>
    <row r="47" spans="1:7" x14ac:dyDescent="0.2">
      <c r="A47" s="42" t="s">
        <v>186</v>
      </c>
      <c r="B47" s="20">
        <v>3506</v>
      </c>
      <c r="C47" s="20">
        <v>13</v>
      </c>
      <c r="D47" s="20">
        <v>2622</v>
      </c>
      <c r="E47" s="20">
        <v>0</v>
      </c>
      <c r="F47" s="20">
        <v>2636</v>
      </c>
      <c r="G47" s="43" t="s">
        <v>538</v>
      </c>
    </row>
    <row r="48" spans="1:7" x14ac:dyDescent="0.2">
      <c r="A48" s="42" t="s">
        <v>187</v>
      </c>
      <c r="B48" s="20">
        <v>21555</v>
      </c>
      <c r="C48" s="20">
        <v>2388</v>
      </c>
      <c r="D48" s="20">
        <v>19020</v>
      </c>
      <c r="E48" s="20">
        <v>0</v>
      </c>
      <c r="F48" s="20">
        <v>21409</v>
      </c>
      <c r="G48" s="43" t="s">
        <v>539</v>
      </c>
    </row>
    <row r="49" spans="1:7" x14ac:dyDescent="0.2">
      <c r="A49" s="42" t="s">
        <v>188</v>
      </c>
      <c r="B49" s="20">
        <v>90534</v>
      </c>
      <c r="C49" s="20">
        <v>16517</v>
      </c>
      <c r="D49" s="20">
        <v>70236</v>
      </c>
      <c r="E49" s="20">
        <v>0</v>
      </c>
      <c r="F49" s="20">
        <v>86753</v>
      </c>
      <c r="G49" s="43" t="s">
        <v>540</v>
      </c>
    </row>
    <row r="50" spans="1:7" x14ac:dyDescent="0.2">
      <c r="A50" s="42" t="s">
        <v>189</v>
      </c>
      <c r="B50" s="20">
        <v>8110</v>
      </c>
      <c r="C50" s="20">
        <v>31</v>
      </c>
      <c r="D50" s="20">
        <v>6029</v>
      </c>
      <c r="E50" s="20">
        <v>0</v>
      </c>
      <c r="F50" s="20">
        <v>6060</v>
      </c>
      <c r="G50" s="43" t="s">
        <v>541</v>
      </c>
    </row>
    <row r="51" spans="1:7" x14ac:dyDescent="0.2">
      <c r="A51" s="42" t="s">
        <v>190</v>
      </c>
      <c r="B51" s="20">
        <v>3469</v>
      </c>
      <c r="C51" s="20">
        <v>13</v>
      </c>
      <c r="D51" s="20">
        <v>2552</v>
      </c>
      <c r="E51" s="20">
        <v>0</v>
      </c>
      <c r="F51" s="20">
        <v>2565</v>
      </c>
      <c r="G51" s="43" t="s">
        <v>542</v>
      </c>
    </row>
    <row r="52" spans="1:7" x14ac:dyDescent="0.2">
      <c r="A52" s="42" t="s">
        <v>191</v>
      </c>
      <c r="B52" s="20">
        <v>24955</v>
      </c>
      <c r="C52" s="20">
        <v>4667</v>
      </c>
      <c r="D52" s="20">
        <v>19818</v>
      </c>
      <c r="E52" s="20">
        <v>0</v>
      </c>
      <c r="F52" s="20">
        <v>24485</v>
      </c>
      <c r="G52" s="43" t="s">
        <v>543</v>
      </c>
    </row>
    <row r="53" spans="1:7" x14ac:dyDescent="0.2">
      <c r="A53" s="42" t="s">
        <v>192</v>
      </c>
      <c r="B53" s="20">
        <v>22956</v>
      </c>
      <c r="C53" s="20">
        <v>4838</v>
      </c>
      <c r="D53" s="20">
        <v>20127</v>
      </c>
      <c r="E53" s="20">
        <v>0</v>
      </c>
      <c r="F53" s="20">
        <v>24965</v>
      </c>
      <c r="G53" s="43" t="s">
        <v>544</v>
      </c>
    </row>
    <row r="54" spans="1:7" x14ac:dyDescent="0.2">
      <c r="A54" s="42" t="s">
        <v>193</v>
      </c>
      <c r="B54" s="20">
        <v>8621</v>
      </c>
      <c r="C54" s="20">
        <v>31</v>
      </c>
      <c r="D54" s="20">
        <v>5746</v>
      </c>
      <c r="E54" s="20">
        <v>0</v>
      </c>
      <c r="F54" s="20">
        <v>5777</v>
      </c>
      <c r="G54" s="43" t="s">
        <v>545</v>
      </c>
    </row>
    <row r="55" spans="1:7" x14ac:dyDescent="0.2">
      <c r="A55" s="42" t="s">
        <v>194</v>
      </c>
      <c r="B55" s="20">
        <v>16884</v>
      </c>
      <c r="C55" s="20">
        <v>18947</v>
      </c>
      <c r="D55" s="20">
        <v>18360</v>
      </c>
      <c r="E55" s="20">
        <v>0</v>
      </c>
      <c r="F55" s="20">
        <v>37308</v>
      </c>
      <c r="G55" s="43" t="s">
        <v>546</v>
      </c>
    </row>
    <row r="56" spans="1:7" x14ac:dyDescent="0.2">
      <c r="A56" s="42" t="s">
        <v>195</v>
      </c>
      <c r="B56" s="20">
        <v>3507</v>
      </c>
      <c r="C56" s="20">
        <v>3513</v>
      </c>
      <c r="D56" s="20">
        <v>2616</v>
      </c>
      <c r="E56" s="20">
        <v>0</v>
      </c>
      <c r="F56" s="20">
        <v>6129</v>
      </c>
      <c r="G56" s="43" t="s">
        <v>547</v>
      </c>
    </row>
    <row r="57" spans="1:7" x14ac:dyDescent="0.2">
      <c r="A57" s="42" t="s">
        <v>196</v>
      </c>
      <c r="B57" s="20">
        <v>0</v>
      </c>
      <c r="C57" s="20">
        <v>261</v>
      </c>
      <c r="D57" s="20">
        <v>195</v>
      </c>
      <c r="E57" s="20">
        <v>0</v>
      </c>
      <c r="F57" s="20">
        <v>456</v>
      </c>
      <c r="G57" s="43" t="s">
        <v>548</v>
      </c>
    </row>
    <row r="58" spans="1:7" x14ac:dyDescent="0.2">
      <c r="A58" s="42" t="s">
        <v>197</v>
      </c>
      <c r="B58" s="20">
        <v>985</v>
      </c>
      <c r="C58" s="20">
        <v>1068</v>
      </c>
      <c r="D58" s="20">
        <v>795</v>
      </c>
      <c r="E58" s="20">
        <v>0</v>
      </c>
      <c r="F58" s="20">
        <v>1863</v>
      </c>
      <c r="G58" s="43" t="s">
        <v>549</v>
      </c>
    </row>
    <row r="59" spans="1:7" x14ac:dyDescent="0.2">
      <c r="A59" s="42" t="s">
        <v>198</v>
      </c>
      <c r="B59" s="20">
        <v>430</v>
      </c>
      <c r="C59" s="20">
        <v>466</v>
      </c>
      <c r="D59" s="20">
        <v>347</v>
      </c>
      <c r="E59" s="20">
        <v>0</v>
      </c>
      <c r="F59" s="20">
        <v>812</v>
      </c>
      <c r="G59" s="43" t="s">
        <v>550</v>
      </c>
    </row>
    <row r="60" spans="1:7" x14ac:dyDescent="0.2">
      <c r="A60" s="42" t="s">
        <v>199</v>
      </c>
      <c r="B60" s="20">
        <v>8517</v>
      </c>
      <c r="C60" s="20">
        <v>14464</v>
      </c>
      <c r="D60" s="20">
        <v>16440</v>
      </c>
      <c r="E60" s="20">
        <v>0</v>
      </c>
      <c r="F60" s="20">
        <v>30904</v>
      </c>
      <c r="G60" s="43" t="s">
        <v>551</v>
      </c>
    </row>
    <row r="61" spans="1:7" x14ac:dyDescent="0.2">
      <c r="A61" s="42" t="s">
        <v>200</v>
      </c>
      <c r="B61" s="20">
        <v>0</v>
      </c>
      <c r="C61" s="20">
        <v>0</v>
      </c>
      <c r="D61" s="20">
        <v>0</v>
      </c>
      <c r="E61" s="20">
        <v>0</v>
      </c>
      <c r="F61" s="20">
        <v>0</v>
      </c>
      <c r="G61" s="43" t="s">
        <v>496</v>
      </c>
    </row>
    <row r="62" spans="1:7" x14ac:dyDescent="0.2">
      <c r="A62" s="42" t="s">
        <v>201</v>
      </c>
      <c r="B62" s="20">
        <v>844</v>
      </c>
      <c r="C62" s="20">
        <v>915</v>
      </c>
      <c r="D62" s="20">
        <v>681</v>
      </c>
      <c r="E62" s="20">
        <v>0</v>
      </c>
      <c r="F62" s="20">
        <v>1597</v>
      </c>
      <c r="G62" s="43" t="s">
        <v>552</v>
      </c>
    </row>
    <row r="63" spans="1:7" x14ac:dyDescent="0.2">
      <c r="A63" s="42" t="s">
        <v>202</v>
      </c>
      <c r="B63" s="20">
        <v>0</v>
      </c>
      <c r="C63" s="20">
        <v>0</v>
      </c>
      <c r="D63" s="20">
        <v>0</v>
      </c>
      <c r="E63" s="20">
        <v>0</v>
      </c>
      <c r="F63" s="20">
        <v>0</v>
      </c>
      <c r="G63" s="43" t="s">
        <v>496</v>
      </c>
    </row>
    <row r="64" spans="1:7" x14ac:dyDescent="0.2">
      <c r="A64" s="42" t="s">
        <v>203</v>
      </c>
      <c r="B64" s="20">
        <v>0</v>
      </c>
      <c r="C64" s="20">
        <v>0</v>
      </c>
      <c r="D64" s="20">
        <v>0</v>
      </c>
      <c r="E64" s="20">
        <v>0</v>
      </c>
      <c r="F64" s="20">
        <v>0</v>
      </c>
      <c r="G64" s="43" t="s">
        <v>496</v>
      </c>
    </row>
    <row r="65" spans="1:7" ht="15" customHeight="1" x14ac:dyDescent="0.2">
      <c r="A65" s="44" t="s">
        <v>204</v>
      </c>
      <c r="B65" s="45">
        <v>1132705</v>
      </c>
      <c r="C65" s="45">
        <v>456483</v>
      </c>
      <c r="D65" s="45">
        <v>1013175</v>
      </c>
      <c r="E65" s="45">
        <v>0</v>
      </c>
      <c r="F65" s="45">
        <v>1469658</v>
      </c>
      <c r="G65" s="51">
        <v>6648634</v>
      </c>
    </row>
    <row r="66" spans="1:7" ht="15" customHeight="1" x14ac:dyDescent="0.2">
      <c r="A66" s="101" t="s">
        <v>205</v>
      </c>
      <c r="B66" s="101"/>
      <c r="C66" s="101"/>
      <c r="D66" s="101"/>
      <c r="E66" s="101"/>
      <c r="F66" s="101"/>
      <c r="G66" s="101"/>
    </row>
    <row r="67" spans="1:7" ht="45.75" customHeight="1" x14ac:dyDescent="0.2">
      <c r="A67" s="103" t="s">
        <v>241</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237</v>
      </c>
      <c r="B1" s="16"/>
      <c r="C1" s="16"/>
      <c r="D1" s="16"/>
      <c r="E1" s="16"/>
      <c r="F1" s="16"/>
      <c r="G1" s="15" t="s">
        <v>87</v>
      </c>
    </row>
    <row r="2" spans="1:7" x14ac:dyDescent="0.2">
      <c r="A2" s="17" t="s">
        <v>353</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5208</v>
      </c>
      <c r="C6" s="20">
        <v>54491</v>
      </c>
      <c r="D6" s="20">
        <v>0</v>
      </c>
      <c r="E6" s="20">
        <v>0</v>
      </c>
      <c r="F6" s="20">
        <v>54491</v>
      </c>
      <c r="G6" s="43">
        <v>9603</v>
      </c>
    </row>
    <row r="7" spans="1:7" x14ac:dyDescent="0.2">
      <c r="A7" s="42" t="s">
        <v>146</v>
      </c>
      <c r="B7" s="20">
        <v>1855</v>
      </c>
      <c r="C7" s="20">
        <v>7304</v>
      </c>
      <c r="D7" s="20">
        <v>0</v>
      </c>
      <c r="E7" s="20">
        <v>0</v>
      </c>
      <c r="F7" s="20">
        <v>7304</v>
      </c>
      <c r="G7" s="43">
        <v>1287</v>
      </c>
    </row>
    <row r="8" spans="1:7" x14ac:dyDescent="0.2">
      <c r="A8" s="42" t="s">
        <v>147</v>
      </c>
      <c r="B8" s="20">
        <v>5199</v>
      </c>
      <c r="C8" s="20">
        <v>88790</v>
      </c>
      <c r="D8" s="20">
        <v>0</v>
      </c>
      <c r="E8" s="20">
        <v>0</v>
      </c>
      <c r="F8" s="20">
        <v>88790</v>
      </c>
      <c r="G8" s="43">
        <v>15648</v>
      </c>
    </row>
    <row r="9" spans="1:7" x14ac:dyDescent="0.2">
      <c r="A9" s="42" t="s">
        <v>148</v>
      </c>
      <c r="B9" s="20">
        <v>14923</v>
      </c>
      <c r="C9" s="20">
        <v>20883</v>
      </c>
      <c r="D9" s="20">
        <v>0</v>
      </c>
      <c r="E9" s="20">
        <v>0</v>
      </c>
      <c r="F9" s="20">
        <v>20883</v>
      </c>
      <c r="G9" s="43">
        <v>3680</v>
      </c>
    </row>
    <row r="10" spans="1:7" x14ac:dyDescent="0.2">
      <c r="A10" s="42" t="s">
        <v>149</v>
      </c>
      <c r="B10" s="20">
        <v>137137</v>
      </c>
      <c r="C10" s="20">
        <v>431638</v>
      </c>
      <c r="D10" s="20">
        <v>0</v>
      </c>
      <c r="E10" s="20">
        <v>0</v>
      </c>
      <c r="F10" s="20">
        <v>431638</v>
      </c>
      <c r="G10" s="43">
        <v>76070</v>
      </c>
    </row>
    <row r="11" spans="1:7" x14ac:dyDescent="0.2">
      <c r="A11" s="42" t="s">
        <v>150</v>
      </c>
      <c r="B11" s="20">
        <v>18500</v>
      </c>
      <c r="C11" s="20">
        <v>37374</v>
      </c>
      <c r="D11" s="20">
        <v>0</v>
      </c>
      <c r="E11" s="20">
        <v>0</v>
      </c>
      <c r="F11" s="20">
        <v>37374</v>
      </c>
      <c r="G11" s="43">
        <v>6587</v>
      </c>
    </row>
    <row r="12" spans="1:7" x14ac:dyDescent="0.2">
      <c r="A12" s="42" t="s">
        <v>151</v>
      </c>
      <c r="B12" s="20">
        <v>32031</v>
      </c>
      <c r="C12" s="20">
        <v>27979</v>
      </c>
      <c r="D12" s="20">
        <v>0</v>
      </c>
      <c r="E12" s="20">
        <v>0</v>
      </c>
      <c r="F12" s="20">
        <v>27979</v>
      </c>
      <c r="G12" s="43">
        <v>4931</v>
      </c>
    </row>
    <row r="13" spans="1:7" x14ac:dyDescent="0.2">
      <c r="A13" s="42" t="s">
        <v>152</v>
      </c>
      <c r="B13" s="20">
        <v>7603</v>
      </c>
      <c r="C13" s="20">
        <v>2646</v>
      </c>
      <c r="D13" s="20">
        <v>0</v>
      </c>
      <c r="E13" s="20">
        <v>0</v>
      </c>
      <c r="F13" s="20">
        <v>2646</v>
      </c>
      <c r="G13" s="43">
        <v>466</v>
      </c>
    </row>
    <row r="14" spans="1:7" x14ac:dyDescent="0.2">
      <c r="A14" s="42" t="s">
        <v>153</v>
      </c>
      <c r="B14" s="20">
        <v>11529</v>
      </c>
      <c r="C14" s="20">
        <v>5158</v>
      </c>
      <c r="D14" s="20">
        <v>0</v>
      </c>
      <c r="E14" s="20">
        <v>0</v>
      </c>
      <c r="F14" s="20">
        <v>5158</v>
      </c>
      <c r="G14" s="43">
        <v>909</v>
      </c>
    </row>
    <row r="15" spans="1:7" x14ac:dyDescent="0.2">
      <c r="A15" s="42" t="s">
        <v>154</v>
      </c>
      <c r="B15" s="20">
        <v>134904</v>
      </c>
      <c r="C15" s="20">
        <v>85310</v>
      </c>
      <c r="D15" s="20">
        <v>0</v>
      </c>
      <c r="E15" s="20">
        <v>0</v>
      </c>
      <c r="F15" s="20">
        <v>85310</v>
      </c>
      <c r="G15" s="43">
        <v>15035</v>
      </c>
    </row>
    <row r="16" spans="1:7" x14ac:dyDescent="0.2">
      <c r="A16" s="42" t="s">
        <v>155</v>
      </c>
      <c r="B16" s="20">
        <v>16016</v>
      </c>
      <c r="C16" s="20">
        <v>104370</v>
      </c>
      <c r="D16" s="20">
        <v>0</v>
      </c>
      <c r="E16" s="20">
        <v>0</v>
      </c>
      <c r="F16" s="20">
        <v>104370</v>
      </c>
      <c r="G16" s="43">
        <v>18394</v>
      </c>
    </row>
    <row r="17" spans="1:7" x14ac:dyDescent="0.2">
      <c r="A17" s="42" t="s">
        <v>156</v>
      </c>
      <c r="B17" s="20">
        <v>8895</v>
      </c>
      <c r="C17" s="20">
        <v>13964</v>
      </c>
      <c r="D17" s="20">
        <v>0</v>
      </c>
      <c r="E17" s="20">
        <v>0</v>
      </c>
      <c r="F17" s="20">
        <v>13964</v>
      </c>
      <c r="G17" s="43">
        <v>2461</v>
      </c>
    </row>
    <row r="18" spans="1:7" x14ac:dyDescent="0.2">
      <c r="A18" s="42" t="s">
        <v>157</v>
      </c>
      <c r="B18" s="20">
        <v>7317</v>
      </c>
      <c r="C18" s="20">
        <v>10585</v>
      </c>
      <c r="D18" s="20">
        <v>0</v>
      </c>
      <c r="E18" s="20">
        <v>0</v>
      </c>
      <c r="F18" s="20">
        <v>10585</v>
      </c>
      <c r="G18" s="43">
        <v>1865</v>
      </c>
    </row>
    <row r="19" spans="1:7" x14ac:dyDescent="0.2">
      <c r="A19" s="42" t="s">
        <v>158</v>
      </c>
      <c r="B19" s="20">
        <v>68614</v>
      </c>
      <c r="C19" s="20">
        <v>116483</v>
      </c>
      <c r="D19" s="20">
        <v>0</v>
      </c>
      <c r="E19" s="20">
        <v>0</v>
      </c>
      <c r="F19" s="20">
        <v>116483</v>
      </c>
      <c r="G19" s="43">
        <v>20528</v>
      </c>
    </row>
    <row r="20" spans="1:7" x14ac:dyDescent="0.2">
      <c r="A20" s="42" t="s">
        <v>159</v>
      </c>
      <c r="B20" s="20">
        <v>55390</v>
      </c>
      <c r="C20" s="20">
        <v>29388</v>
      </c>
      <c r="D20" s="20">
        <v>0</v>
      </c>
      <c r="E20" s="20">
        <v>0</v>
      </c>
      <c r="F20" s="20">
        <v>29388</v>
      </c>
      <c r="G20" s="43">
        <v>5179</v>
      </c>
    </row>
    <row r="21" spans="1:7" x14ac:dyDescent="0.2">
      <c r="A21" s="42" t="s">
        <v>160</v>
      </c>
      <c r="B21" s="20">
        <v>30085</v>
      </c>
      <c r="C21" s="20">
        <v>14109</v>
      </c>
      <c r="D21" s="20">
        <v>0</v>
      </c>
      <c r="E21" s="20">
        <v>0</v>
      </c>
      <c r="F21" s="20">
        <v>14109</v>
      </c>
      <c r="G21" s="43">
        <v>2486</v>
      </c>
    </row>
    <row r="22" spans="1:7" x14ac:dyDescent="0.2">
      <c r="A22" s="42" t="s">
        <v>161</v>
      </c>
      <c r="B22" s="20">
        <v>15464</v>
      </c>
      <c r="C22" s="20">
        <v>18572</v>
      </c>
      <c r="D22" s="20">
        <v>0</v>
      </c>
      <c r="E22" s="20">
        <v>0</v>
      </c>
      <c r="F22" s="20">
        <v>18572</v>
      </c>
      <c r="G22" s="43">
        <v>3273</v>
      </c>
    </row>
    <row r="23" spans="1:7" x14ac:dyDescent="0.2">
      <c r="A23" s="42" t="s">
        <v>162</v>
      </c>
      <c r="B23" s="20">
        <v>43047</v>
      </c>
      <c r="C23" s="20">
        <v>13817</v>
      </c>
      <c r="D23" s="20">
        <v>0</v>
      </c>
      <c r="E23" s="20">
        <v>0</v>
      </c>
      <c r="F23" s="20">
        <v>13817</v>
      </c>
      <c r="G23" s="43">
        <v>2435</v>
      </c>
    </row>
    <row r="24" spans="1:7" x14ac:dyDescent="0.2">
      <c r="A24" s="42" t="s">
        <v>163</v>
      </c>
      <c r="B24" s="20">
        <v>44999</v>
      </c>
      <c r="C24" s="20">
        <v>26714</v>
      </c>
      <c r="D24" s="20">
        <v>0</v>
      </c>
      <c r="E24" s="20">
        <v>0</v>
      </c>
      <c r="F24" s="20">
        <v>26714</v>
      </c>
      <c r="G24" s="43">
        <v>4708</v>
      </c>
    </row>
    <row r="25" spans="1:7" x14ac:dyDescent="0.2">
      <c r="A25" s="42" t="s">
        <v>164</v>
      </c>
      <c r="B25" s="20">
        <v>10728</v>
      </c>
      <c r="C25" s="20">
        <v>9925</v>
      </c>
      <c r="D25" s="20">
        <v>0</v>
      </c>
      <c r="E25" s="20">
        <v>0</v>
      </c>
      <c r="F25" s="20">
        <v>9925</v>
      </c>
      <c r="G25" s="43">
        <v>1749</v>
      </c>
    </row>
    <row r="26" spans="1:7" x14ac:dyDescent="0.2">
      <c r="A26" s="42" t="s">
        <v>165</v>
      </c>
      <c r="B26" s="20">
        <v>30870</v>
      </c>
      <c r="C26" s="20">
        <v>26315</v>
      </c>
      <c r="D26" s="20">
        <v>0</v>
      </c>
      <c r="E26" s="20">
        <v>0</v>
      </c>
      <c r="F26" s="20">
        <v>26315</v>
      </c>
      <c r="G26" s="43">
        <v>4638</v>
      </c>
    </row>
    <row r="27" spans="1:7" x14ac:dyDescent="0.2">
      <c r="A27" s="42" t="s">
        <v>166</v>
      </c>
      <c r="B27" s="20">
        <v>86588</v>
      </c>
      <c r="C27" s="20">
        <v>63613</v>
      </c>
      <c r="D27" s="20">
        <v>0</v>
      </c>
      <c r="E27" s="20">
        <v>0</v>
      </c>
      <c r="F27" s="20">
        <v>63613</v>
      </c>
      <c r="G27" s="43">
        <v>11211</v>
      </c>
    </row>
    <row r="28" spans="1:7" x14ac:dyDescent="0.2">
      <c r="A28" s="42" t="s">
        <v>167</v>
      </c>
      <c r="B28" s="20">
        <v>111690</v>
      </c>
      <c r="C28" s="20">
        <v>36328</v>
      </c>
      <c r="D28" s="20">
        <v>0</v>
      </c>
      <c r="E28" s="20">
        <v>0</v>
      </c>
      <c r="F28" s="20">
        <v>36328</v>
      </c>
      <c r="G28" s="43">
        <v>6402</v>
      </c>
    </row>
    <row r="29" spans="1:7" x14ac:dyDescent="0.2">
      <c r="A29" s="42" t="s">
        <v>168</v>
      </c>
      <c r="B29" s="20">
        <v>14544</v>
      </c>
      <c r="C29" s="20">
        <v>50577</v>
      </c>
      <c r="D29" s="20">
        <v>0</v>
      </c>
      <c r="E29" s="20">
        <v>0</v>
      </c>
      <c r="F29" s="20">
        <v>50577</v>
      </c>
      <c r="G29" s="43">
        <v>8913</v>
      </c>
    </row>
    <row r="30" spans="1:7" x14ac:dyDescent="0.2">
      <c r="A30" s="42" t="s">
        <v>169</v>
      </c>
      <c r="B30" s="20">
        <v>2294</v>
      </c>
      <c r="C30" s="20">
        <v>41890</v>
      </c>
      <c r="D30" s="20">
        <v>0</v>
      </c>
      <c r="E30" s="20">
        <v>0</v>
      </c>
      <c r="F30" s="20">
        <v>41890</v>
      </c>
      <c r="G30" s="43">
        <v>7382</v>
      </c>
    </row>
    <row r="31" spans="1:7" x14ac:dyDescent="0.2">
      <c r="A31" s="42" t="s">
        <v>170</v>
      </c>
      <c r="B31" s="20">
        <v>19907</v>
      </c>
      <c r="C31" s="20">
        <v>56378</v>
      </c>
      <c r="D31" s="20">
        <v>0</v>
      </c>
      <c r="E31" s="20">
        <v>0</v>
      </c>
      <c r="F31" s="20">
        <v>56378</v>
      </c>
      <c r="G31" s="43">
        <v>9936</v>
      </c>
    </row>
    <row r="32" spans="1:7" x14ac:dyDescent="0.2">
      <c r="A32" s="42" t="s">
        <v>171</v>
      </c>
      <c r="B32" s="20">
        <v>815</v>
      </c>
      <c r="C32" s="20">
        <v>11538</v>
      </c>
      <c r="D32" s="20">
        <v>0</v>
      </c>
      <c r="E32" s="20">
        <v>0</v>
      </c>
      <c r="F32" s="20">
        <v>11538</v>
      </c>
      <c r="G32" s="43">
        <v>2033</v>
      </c>
    </row>
    <row r="33" spans="1:7" x14ac:dyDescent="0.2">
      <c r="A33" s="42" t="s">
        <v>172</v>
      </c>
      <c r="B33" s="20">
        <v>10620</v>
      </c>
      <c r="C33" s="20">
        <v>11363</v>
      </c>
      <c r="D33" s="20">
        <v>0</v>
      </c>
      <c r="E33" s="20">
        <v>0</v>
      </c>
      <c r="F33" s="20">
        <v>11363</v>
      </c>
      <c r="G33" s="43">
        <v>2003</v>
      </c>
    </row>
    <row r="34" spans="1:7" x14ac:dyDescent="0.2">
      <c r="A34" s="42" t="s">
        <v>173</v>
      </c>
      <c r="B34" s="20">
        <v>9042</v>
      </c>
      <c r="C34" s="20">
        <v>26949</v>
      </c>
      <c r="D34" s="20">
        <v>0</v>
      </c>
      <c r="E34" s="20">
        <v>0</v>
      </c>
      <c r="F34" s="20">
        <v>26949</v>
      </c>
      <c r="G34" s="43">
        <v>4749</v>
      </c>
    </row>
    <row r="35" spans="1:7" x14ac:dyDescent="0.2">
      <c r="A35" s="42" t="s">
        <v>174</v>
      </c>
      <c r="B35" s="20">
        <v>12177</v>
      </c>
      <c r="C35" s="20">
        <v>5754</v>
      </c>
      <c r="D35" s="20">
        <v>0</v>
      </c>
      <c r="E35" s="20">
        <v>0</v>
      </c>
      <c r="F35" s="20">
        <v>5754</v>
      </c>
      <c r="G35" s="43">
        <v>1014</v>
      </c>
    </row>
    <row r="36" spans="1:7" x14ac:dyDescent="0.2">
      <c r="A36" s="42" t="s">
        <v>175</v>
      </c>
      <c r="B36" s="20">
        <v>71888</v>
      </c>
      <c r="C36" s="20">
        <v>50811</v>
      </c>
      <c r="D36" s="20">
        <v>0</v>
      </c>
      <c r="E36" s="20">
        <v>0</v>
      </c>
      <c r="F36" s="20">
        <v>50811</v>
      </c>
      <c r="G36" s="43">
        <v>8955</v>
      </c>
    </row>
    <row r="37" spans="1:7" x14ac:dyDescent="0.2">
      <c r="A37" s="42" t="s">
        <v>176</v>
      </c>
      <c r="B37" s="20">
        <v>8071</v>
      </c>
      <c r="C37" s="20">
        <v>19977</v>
      </c>
      <c r="D37" s="20">
        <v>0</v>
      </c>
      <c r="E37" s="20">
        <v>0</v>
      </c>
      <c r="F37" s="20">
        <v>19977</v>
      </c>
      <c r="G37" s="43">
        <v>3521</v>
      </c>
    </row>
    <row r="38" spans="1:7" x14ac:dyDescent="0.2">
      <c r="A38" s="42" t="s">
        <v>177</v>
      </c>
      <c r="B38" s="20">
        <v>50845</v>
      </c>
      <c r="C38" s="20">
        <v>391253</v>
      </c>
      <c r="D38" s="20">
        <v>0</v>
      </c>
      <c r="E38" s="20">
        <v>0</v>
      </c>
      <c r="F38" s="20">
        <v>391253</v>
      </c>
      <c r="G38" s="43">
        <v>68953</v>
      </c>
    </row>
    <row r="39" spans="1:7" x14ac:dyDescent="0.2">
      <c r="A39" s="42" t="s">
        <v>178</v>
      </c>
      <c r="B39" s="20">
        <v>72501</v>
      </c>
      <c r="C39" s="20">
        <v>45866</v>
      </c>
      <c r="D39" s="20">
        <v>0</v>
      </c>
      <c r="E39" s="20">
        <v>0</v>
      </c>
      <c r="F39" s="20">
        <v>45866</v>
      </c>
      <c r="G39" s="43">
        <v>8083</v>
      </c>
    </row>
    <row r="40" spans="1:7" x14ac:dyDescent="0.2">
      <c r="A40" s="42" t="s">
        <v>179</v>
      </c>
      <c r="B40" s="20">
        <v>732</v>
      </c>
      <c r="C40" s="20">
        <v>7718</v>
      </c>
      <c r="D40" s="20">
        <v>0</v>
      </c>
      <c r="E40" s="20">
        <v>0</v>
      </c>
      <c r="F40" s="20">
        <v>7718</v>
      </c>
      <c r="G40" s="43">
        <v>1360</v>
      </c>
    </row>
    <row r="41" spans="1:7" x14ac:dyDescent="0.2">
      <c r="A41" s="42" t="s">
        <v>180</v>
      </c>
      <c r="B41" s="20">
        <v>81926</v>
      </c>
      <c r="C41" s="20">
        <v>83289</v>
      </c>
      <c r="D41" s="20">
        <v>0</v>
      </c>
      <c r="E41" s="20">
        <v>0</v>
      </c>
      <c r="F41" s="20">
        <v>83289</v>
      </c>
      <c r="G41" s="43">
        <v>14678</v>
      </c>
    </row>
    <row r="42" spans="1:7" x14ac:dyDescent="0.2">
      <c r="A42" s="42" t="s">
        <v>181</v>
      </c>
      <c r="B42" s="20">
        <v>8027</v>
      </c>
      <c r="C42" s="20">
        <v>39338</v>
      </c>
      <c r="D42" s="20">
        <v>0</v>
      </c>
      <c r="E42" s="20">
        <v>0</v>
      </c>
      <c r="F42" s="20">
        <v>39338</v>
      </c>
      <c r="G42" s="43">
        <v>6933</v>
      </c>
    </row>
    <row r="43" spans="1:7" x14ac:dyDescent="0.2">
      <c r="A43" s="42" t="s">
        <v>182</v>
      </c>
      <c r="B43" s="20">
        <v>30934</v>
      </c>
      <c r="C43" s="20">
        <v>19383</v>
      </c>
      <c r="D43" s="20">
        <v>0</v>
      </c>
      <c r="E43" s="20">
        <v>0</v>
      </c>
      <c r="F43" s="20">
        <v>19383</v>
      </c>
      <c r="G43" s="43">
        <v>3416</v>
      </c>
    </row>
    <row r="44" spans="1:7" x14ac:dyDescent="0.2">
      <c r="A44" s="42" t="s">
        <v>183</v>
      </c>
      <c r="B44" s="20">
        <v>105606</v>
      </c>
      <c r="C44" s="20">
        <v>102402</v>
      </c>
      <c r="D44" s="20">
        <v>0</v>
      </c>
      <c r="E44" s="20">
        <v>0</v>
      </c>
      <c r="F44" s="20">
        <v>102402</v>
      </c>
      <c r="G44" s="43">
        <v>18047</v>
      </c>
    </row>
    <row r="45" spans="1:7" x14ac:dyDescent="0.2">
      <c r="A45" s="42" t="s">
        <v>184</v>
      </c>
      <c r="B45" s="20">
        <v>14572</v>
      </c>
      <c r="C45" s="20">
        <v>7490</v>
      </c>
      <c r="D45" s="20">
        <v>0</v>
      </c>
      <c r="E45" s="20">
        <v>0</v>
      </c>
      <c r="F45" s="20">
        <v>7490</v>
      </c>
      <c r="G45" s="43">
        <v>1320</v>
      </c>
    </row>
    <row r="46" spans="1:7" x14ac:dyDescent="0.2">
      <c r="A46" s="42" t="s">
        <v>185</v>
      </c>
      <c r="B46" s="20">
        <v>8590</v>
      </c>
      <c r="C46" s="20">
        <v>45896</v>
      </c>
      <c r="D46" s="20">
        <v>0</v>
      </c>
      <c r="E46" s="20">
        <v>0</v>
      </c>
      <c r="F46" s="20">
        <v>45896</v>
      </c>
      <c r="G46" s="43">
        <v>8088</v>
      </c>
    </row>
    <row r="47" spans="1:7" x14ac:dyDescent="0.2">
      <c r="A47" s="42" t="s">
        <v>186</v>
      </c>
      <c r="B47" s="20">
        <v>603</v>
      </c>
      <c r="C47" s="20">
        <v>9551</v>
      </c>
      <c r="D47" s="20">
        <v>0</v>
      </c>
      <c r="E47" s="20">
        <v>0</v>
      </c>
      <c r="F47" s="20">
        <v>9551</v>
      </c>
      <c r="G47" s="43">
        <v>1683</v>
      </c>
    </row>
    <row r="48" spans="1:7" x14ac:dyDescent="0.2">
      <c r="A48" s="42" t="s">
        <v>187</v>
      </c>
      <c r="B48" s="20">
        <v>24121</v>
      </c>
      <c r="C48" s="20">
        <v>61351</v>
      </c>
      <c r="D48" s="20">
        <v>0</v>
      </c>
      <c r="E48" s="20">
        <v>0</v>
      </c>
      <c r="F48" s="20">
        <v>61351</v>
      </c>
      <c r="G48" s="43">
        <v>10812</v>
      </c>
    </row>
    <row r="49" spans="1:7" x14ac:dyDescent="0.2">
      <c r="A49" s="42" t="s">
        <v>188</v>
      </c>
      <c r="B49" s="20">
        <v>128012</v>
      </c>
      <c r="C49" s="20">
        <v>219842</v>
      </c>
      <c r="D49" s="20">
        <v>0</v>
      </c>
      <c r="E49" s="20">
        <v>0</v>
      </c>
      <c r="F49" s="20">
        <v>219842</v>
      </c>
      <c r="G49" s="43">
        <v>38744</v>
      </c>
    </row>
    <row r="50" spans="1:7" x14ac:dyDescent="0.2">
      <c r="A50" s="42" t="s">
        <v>189</v>
      </c>
      <c r="B50" s="20">
        <v>9407</v>
      </c>
      <c r="C50" s="20">
        <v>15355</v>
      </c>
      <c r="D50" s="20">
        <v>0</v>
      </c>
      <c r="E50" s="20">
        <v>0</v>
      </c>
      <c r="F50" s="20">
        <v>15355</v>
      </c>
      <c r="G50" s="43">
        <v>2706</v>
      </c>
    </row>
    <row r="51" spans="1:7" x14ac:dyDescent="0.2">
      <c r="A51" s="42" t="s">
        <v>190</v>
      </c>
      <c r="B51" s="20">
        <v>6739</v>
      </c>
      <c r="C51" s="20">
        <v>2849</v>
      </c>
      <c r="D51" s="20">
        <v>0</v>
      </c>
      <c r="E51" s="20">
        <v>0</v>
      </c>
      <c r="F51" s="20">
        <v>2849</v>
      </c>
      <c r="G51" s="43">
        <v>502</v>
      </c>
    </row>
    <row r="52" spans="1:7" x14ac:dyDescent="0.2">
      <c r="A52" s="42" t="s">
        <v>191</v>
      </c>
      <c r="B52" s="20">
        <v>31902</v>
      </c>
      <c r="C52" s="20">
        <v>45508</v>
      </c>
      <c r="D52" s="20">
        <v>0</v>
      </c>
      <c r="E52" s="20">
        <v>0</v>
      </c>
      <c r="F52" s="20">
        <v>45508</v>
      </c>
      <c r="G52" s="43">
        <v>8020</v>
      </c>
    </row>
    <row r="53" spans="1:7" x14ac:dyDescent="0.2">
      <c r="A53" s="42" t="s">
        <v>192</v>
      </c>
      <c r="B53" s="20">
        <v>30018</v>
      </c>
      <c r="C53" s="20">
        <v>53011</v>
      </c>
      <c r="D53" s="20">
        <v>0</v>
      </c>
      <c r="E53" s="20">
        <v>0</v>
      </c>
      <c r="F53" s="20">
        <v>53011</v>
      </c>
      <c r="G53" s="43">
        <v>9342</v>
      </c>
    </row>
    <row r="54" spans="1:7" x14ac:dyDescent="0.2">
      <c r="A54" s="42" t="s">
        <v>193</v>
      </c>
      <c r="B54" s="20">
        <v>17094</v>
      </c>
      <c r="C54" s="20">
        <v>8677</v>
      </c>
      <c r="D54" s="20">
        <v>0</v>
      </c>
      <c r="E54" s="20">
        <v>0</v>
      </c>
      <c r="F54" s="20">
        <v>8677</v>
      </c>
      <c r="G54" s="43">
        <v>1529</v>
      </c>
    </row>
    <row r="55" spans="1:7" x14ac:dyDescent="0.2">
      <c r="A55" s="42" t="s">
        <v>194</v>
      </c>
      <c r="B55" s="20">
        <v>42653</v>
      </c>
      <c r="C55" s="20">
        <v>31349</v>
      </c>
      <c r="D55" s="20">
        <v>0</v>
      </c>
      <c r="E55" s="20">
        <v>0</v>
      </c>
      <c r="F55" s="20">
        <v>31349</v>
      </c>
      <c r="G55" s="43">
        <v>5525</v>
      </c>
    </row>
    <row r="56" spans="1:7" x14ac:dyDescent="0.2">
      <c r="A56" s="42" t="s">
        <v>195</v>
      </c>
      <c r="B56" s="20">
        <v>0</v>
      </c>
      <c r="C56" s="20">
        <v>5986</v>
      </c>
      <c r="D56" s="20">
        <v>0</v>
      </c>
      <c r="E56" s="20">
        <v>0</v>
      </c>
      <c r="F56" s="20">
        <v>5986</v>
      </c>
      <c r="G56" s="43">
        <v>1055</v>
      </c>
    </row>
    <row r="57" spans="1:7" x14ac:dyDescent="0.2">
      <c r="A57" s="42" t="s">
        <v>196</v>
      </c>
      <c r="B57" s="20">
        <v>799</v>
      </c>
      <c r="C57" s="20">
        <v>522</v>
      </c>
      <c r="D57" s="20">
        <v>0</v>
      </c>
      <c r="E57" s="20">
        <v>0</v>
      </c>
      <c r="F57" s="20">
        <v>522</v>
      </c>
      <c r="G57" s="43">
        <v>92</v>
      </c>
    </row>
    <row r="58" spans="1:7" x14ac:dyDescent="0.2">
      <c r="A58" s="42" t="s">
        <v>197</v>
      </c>
      <c r="B58" s="20">
        <v>1786</v>
      </c>
      <c r="C58" s="20">
        <v>2634</v>
      </c>
      <c r="D58" s="20">
        <v>0</v>
      </c>
      <c r="E58" s="20">
        <v>0</v>
      </c>
      <c r="F58" s="20">
        <v>2634</v>
      </c>
      <c r="G58" s="43">
        <v>464</v>
      </c>
    </row>
    <row r="59" spans="1:7" x14ac:dyDescent="0.2">
      <c r="A59" s="42" t="s">
        <v>198</v>
      </c>
      <c r="B59" s="20">
        <v>824</v>
      </c>
      <c r="C59" s="20">
        <v>539</v>
      </c>
      <c r="D59" s="20">
        <v>0</v>
      </c>
      <c r="E59" s="20">
        <v>0</v>
      </c>
      <c r="F59" s="20">
        <v>539</v>
      </c>
      <c r="G59" s="43">
        <v>95</v>
      </c>
    </row>
    <row r="60" spans="1:7" x14ac:dyDescent="0.2">
      <c r="A60" s="42" t="s">
        <v>199</v>
      </c>
      <c r="B60" s="20">
        <v>42482</v>
      </c>
      <c r="C60" s="20">
        <v>23412</v>
      </c>
      <c r="D60" s="20">
        <v>0</v>
      </c>
      <c r="E60" s="20">
        <v>0</v>
      </c>
      <c r="F60" s="20">
        <v>23412</v>
      </c>
      <c r="G60" s="43">
        <v>4126</v>
      </c>
    </row>
    <row r="61" spans="1:7" x14ac:dyDescent="0.2">
      <c r="A61" s="42" t="s">
        <v>200</v>
      </c>
      <c r="B61" s="20">
        <v>0</v>
      </c>
      <c r="C61" s="20">
        <v>0</v>
      </c>
      <c r="D61" s="20">
        <v>0</v>
      </c>
      <c r="E61" s="20">
        <v>0</v>
      </c>
      <c r="F61" s="20">
        <v>0</v>
      </c>
      <c r="G61" s="43">
        <v>0</v>
      </c>
    </row>
    <row r="62" spans="1:7" x14ac:dyDescent="0.2">
      <c r="A62" s="42" t="s">
        <v>201</v>
      </c>
      <c r="B62" s="20">
        <v>0</v>
      </c>
      <c r="C62" s="20">
        <v>2789</v>
      </c>
      <c r="D62" s="20">
        <v>0</v>
      </c>
      <c r="E62" s="20">
        <v>0</v>
      </c>
      <c r="F62" s="20">
        <v>2789</v>
      </c>
      <c r="G62" s="43">
        <v>491</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1758123</v>
      </c>
      <c r="C65" s="45">
        <v>2747003</v>
      </c>
      <c r="D65" s="45">
        <v>0</v>
      </c>
      <c r="E65" s="45">
        <v>0</v>
      </c>
      <c r="F65" s="45">
        <v>2747003</v>
      </c>
      <c r="G65" s="51">
        <v>484115</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5" t="s">
        <v>242</v>
      </c>
      <c r="B1" s="16"/>
      <c r="C1" s="16"/>
      <c r="D1" s="16"/>
      <c r="E1" s="16"/>
      <c r="F1" s="16"/>
      <c r="G1" s="15" t="s">
        <v>243</v>
      </c>
    </row>
    <row r="2" spans="1:7" x14ac:dyDescent="0.2">
      <c r="A2" s="17" t="s">
        <v>354</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244580</v>
      </c>
      <c r="C6" s="20">
        <v>4945</v>
      </c>
      <c r="D6" s="20">
        <v>247170</v>
      </c>
      <c r="E6" s="20">
        <v>12232</v>
      </c>
      <c r="F6" s="20">
        <v>264347</v>
      </c>
      <c r="G6" s="43">
        <v>299992</v>
      </c>
    </row>
    <row r="7" spans="1:7" x14ac:dyDescent="0.2">
      <c r="A7" s="42" t="s">
        <v>146</v>
      </c>
      <c r="B7" s="20">
        <v>48078</v>
      </c>
      <c r="C7" s="20">
        <v>969</v>
      </c>
      <c r="D7" s="20">
        <v>48415</v>
      </c>
      <c r="E7" s="20">
        <v>2396</v>
      </c>
      <c r="F7" s="20">
        <v>51780</v>
      </c>
      <c r="G7" s="43">
        <v>58761</v>
      </c>
    </row>
    <row r="8" spans="1:7" x14ac:dyDescent="0.2">
      <c r="A8" s="42" t="s">
        <v>147</v>
      </c>
      <c r="B8" s="20">
        <v>212069</v>
      </c>
      <c r="C8" s="20">
        <v>4283</v>
      </c>
      <c r="D8" s="20">
        <v>214044</v>
      </c>
      <c r="E8" s="20">
        <v>10592</v>
      </c>
      <c r="F8" s="20">
        <v>228919</v>
      </c>
      <c r="G8" s="43">
        <v>259787</v>
      </c>
    </row>
    <row r="9" spans="1:7" x14ac:dyDescent="0.2">
      <c r="A9" s="42" t="s">
        <v>148</v>
      </c>
      <c r="B9" s="20">
        <v>127398</v>
      </c>
      <c r="C9" s="20">
        <v>2600</v>
      </c>
      <c r="D9" s="20">
        <v>129955</v>
      </c>
      <c r="E9" s="20">
        <v>6431</v>
      </c>
      <c r="F9" s="20">
        <v>138986</v>
      </c>
      <c r="G9" s="43">
        <v>157728</v>
      </c>
    </row>
    <row r="10" spans="1:7" x14ac:dyDescent="0.2">
      <c r="A10" s="42" t="s">
        <v>149</v>
      </c>
      <c r="B10" s="20">
        <v>4859718</v>
      </c>
      <c r="C10" s="20">
        <v>98451</v>
      </c>
      <c r="D10" s="20">
        <v>4920466</v>
      </c>
      <c r="E10" s="20">
        <v>243499</v>
      </c>
      <c r="F10" s="20">
        <v>5262416</v>
      </c>
      <c r="G10" s="43">
        <v>5972003</v>
      </c>
    </row>
    <row r="11" spans="1:7" x14ac:dyDescent="0.2">
      <c r="A11" s="42" t="s">
        <v>150</v>
      </c>
      <c r="B11" s="20">
        <v>372544</v>
      </c>
      <c r="C11" s="20">
        <v>7546</v>
      </c>
      <c r="D11" s="20">
        <v>377125</v>
      </c>
      <c r="E11" s="20">
        <v>18663</v>
      </c>
      <c r="F11" s="20">
        <v>403334</v>
      </c>
      <c r="G11" s="43">
        <v>457720</v>
      </c>
    </row>
    <row r="12" spans="1:7" x14ac:dyDescent="0.2">
      <c r="A12" s="42" t="s">
        <v>151</v>
      </c>
      <c r="B12" s="20">
        <v>494793</v>
      </c>
      <c r="C12" s="20">
        <v>10044</v>
      </c>
      <c r="D12" s="20">
        <v>501984</v>
      </c>
      <c r="E12" s="20">
        <v>24842</v>
      </c>
      <c r="F12" s="20">
        <v>536870</v>
      </c>
      <c r="G12" s="43">
        <v>609262</v>
      </c>
    </row>
    <row r="13" spans="1:7" x14ac:dyDescent="0.2">
      <c r="A13" s="42" t="s">
        <v>152</v>
      </c>
      <c r="B13" s="20">
        <v>49656</v>
      </c>
      <c r="C13" s="20">
        <v>1020</v>
      </c>
      <c r="D13" s="20">
        <v>50963</v>
      </c>
      <c r="E13" s="20">
        <v>2522</v>
      </c>
      <c r="F13" s="20">
        <v>54505</v>
      </c>
      <c r="G13" s="43">
        <v>61854</v>
      </c>
    </row>
    <row r="14" spans="1:7" x14ac:dyDescent="0.2">
      <c r="A14" s="42" t="s">
        <v>153</v>
      </c>
      <c r="B14" s="20">
        <v>261347</v>
      </c>
      <c r="C14" s="20">
        <v>5302</v>
      </c>
      <c r="D14" s="20">
        <v>265007</v>
      </c>
      <c r="E14" s="20">
        <v>13114</v>
      </c>
      <c r="F14" s="20">
        <v>283423</v>
      </c>
      <c r="G14" s="43">
        <v>321641</v>
      </c>
    </row>
    <row r="15" spans="1:7" x14ac:dyDescent="0.2">
      <c r="A15" s="42" t="s">
        <v>154</v>
      </c>
      <c r="B15" s="20">
        <v>1157918</v>
      </c>
      <c r="C15" s="20">
        <v>23453</v>
      </c>
      <c r="D15" s="20">
        <v>1172146</v>
      </c>
      <c r="E15" s="20">
        <v>58006</v>
      </c>
      <c r="F15" s="20">
        <v>1253605</v>
      </c>
      <c r="G15" s="43">
        <v>1422642</v>
      </c>
    </row>
    <row r="16" spans="1:7" x14ac:dyDescent="0.2">
      <c r="A16" s="42" t="s">
        <v>155</v>
      </c>
      <c r="B16" s="20">
        <v>588284</v>
      </c>
      <c r="C16" s="20">
        <v>11930</v>
      </c>
      <c r="D16" s="20">
        <v>596266</v>
      </c>
      <c r="E16" s="20">
        <v>29507</v>
      </c>
      <c r="F16" s="20">
        <v>637703</v>
      </c>
      <c r="G16" s="43">
        <v>723692</v>
      </c>
    </row>
    <row r="17" spans="1:7" x14ac:dyDescent="0.2">
      <c r="A17" s="42" t="s">
        <v>156</v>
      </c>
      <c r="B17" s="20">
        <v>164685</v>
      </c>
      <c r="C17" s="20">
        <v>3314</v>
      </c>
      <c r="D17" s="20">
        <v>165629</v>
      </c>
      <c r="E17" s="20">
        <v>8197</v>
      </c>
      <c r="F17" s="20">
        <v>177140</v>
      </c>
      <c r="G17" s="43">
        <v>201026</v>
      </c>
    </row>
    <row r="18" spans="1:7" x14ac:dyDescent="0.2">
      <c r="A18" s="42" t="s">
        <v>157</v>
      </c>
      <c r="B18" s="20">
        <v>51256</v>
      </c>
      <c r="C18" s="20">
        <v>1020</v>
      </c>
      <c r="D18" s="20">
        <v>50963</v>
      </c>
      <c r="E18" s="20">
        <v>2522</v>
      </c>
      <c r="F18" s="20">
        <v>54505</v>
      </c>
      <c r="G18" s="43">
        <v>61854</v>
      </c>
    </row>
    <row r="19" spans="1:7" x14ac:dyDescent="0.2">
      <c r="A19" s="42" t="s">
        <v>158</v>
      </c>
      <c r="B19" s="20">
        <v>1141579</v>
      </c>
      <c r="C19" s="20">
        <v>23147</v>
      </c>
      <c r="D19" s="20">
        <v>1156857</v>
      </c>
      <c r="E19" s="20">
        <v>57249</v>
      </c>
      <c r="F19" s="20">
        <v>1237253</v>
      </c>
      <c r="G19" s="43">
        <v>1404085</v>
      </c>
    </row>
    <row r="20" spans="1:7" x14ac:dyDescent="0.2">
      <c r="A20" s="42" t="s">
        <v>159</v>
      </c>
      <c r="B20" s="20">
        <v>269408</v>
      </c>
      <c r="C20" s="20">
        <v>5455</v>
      </c>
      <c r="D20" s="20">
        <v>272651</v>
      </c>
      <c r="E20" s="20">
        <v>13493</v>
      </c>
      <c r="F20" s="20">
        <v>291599</v>
      </c>
      <c r="G20" s="43">
        <v>330919</v>
      </c>
    </row>
    <row r="21" spans="1:7" x14ac:dyDescent="0.2">
      <c r="A21" s="42" t="s">
        <v>160</v>
      </c>
      <c r="B21" s="20">
        <v>121473</v>
      </c>
      <c r="C21" s="20">
        <v>2447</v>
      </c>
      <c r="D21" s="20">
        <v>122311</v>
      </c>
      <c r="E21" s="20">
        <v>6053</v>
      </c>
      <c r="F21" s="20">
        <v>130811</v>
      </c>
      <c r="G21" s="43">
        <v>148450</v>
      </c>
    </row>
    <row r="22" spans="1:7" x14ac:dyDescent="0.2">
      <c r="A22" s="42" t="s">
        <v>161</v>
      </c>
      <c r="B22" s="20">
        <v>78604</v>
      </c>
      <c r="C22" s="20">
        <v>1581</v>
      </c>
      <c r="D22" s="20">
        <v>78992</v>
      </c>
      <c r="E22" s="20">
        <v>3909</v>
      </c>
      <c r="F22" s="20">
        <v>84482</v>
      </c>
      <c r="G22" s="43">
        <v>95874</v>
      </c>
    </row>
    <row r="23" spans="1:7" x14ac:dyDescent="0.2">
      <c r="A23" s="42" t="s">
        <v>162</v>
      </c>
      <c r="B23" s="20">
        <v>243700</v>
      </c>
      <c r="C23" s="20">
        <v>4945</v>
      </c>
      <c r="D23" s="20">
        <v>247170</v>
      </c>
      <c r="E23" s="20">
        <v>12232</v>
      </c>
      <c r="F23" s="20">
        <v>264347</v>
      </c>
      <c r="G23" s="43">
        <v>299992</v>
      </c>
    </row>
    <row r="24" spans="1:7" x14ac:dyDescent="0.2">
      <c r="A24" s="42" t="s">
        <v>163</v>
      </c>
      <c r="B24" s="20">
        <v>413652</v>
      </c>
      <c r="C24" s="20">
        <v>8361</v>
      </c>
      <c r="D24" s="20">
        <v>417896</v>
      </c>
      <c r="E24" s="20">
        <v>20680</v>
      </c>
      <c r="F24" s="20">
        <v>446937</v>
      </c>
      <c r="G24" s="43">
        <v>507203</v>
      </c>
    </row>
    <row r="25" spans="1:7" x14ac:dyDescent="0.2">
      <c r="A25" s="42" t="s">
        <v>164</v>
      </c>
      <c r="B25" s="20">
        <v>105689</v>
      </c>
      <c r="C25" s="20">
        <v>2141</v>
      </c>
      <c r="D25" s="20">
        <v>107022</v>
      </c>
      <c r="E25" s="20">
        <v>5296</v>
      </c>
      <c r="F25" s="20">
        <v>114459</v>
      </c>
      <c r="G25" s="43">
        <v>129893</v>
      </c>
    </row>
    <row r="26" spans="1:7" x14ac:dyDescent="0.2">
      <c r="A26" s="42" t="s">
        <v>165</v>
      </c>
      <c r="B26" s="20">
        <v>703419</v>
      </c>
      <c r="C26" s="20">
        <v>14225</v>
      </c>
      <c r="D26" s="20">
        <v>710932</v>
      </c>
      <c r="E26" s="20">
        <v>35182</v>
      </c>
      <c r="F26" s="20">
        <v>760339</v>
      </c>
      <c r="G26" s="43">
        <v>862863</v>
      </c>
    </row>
    <row r="27" spans="1:7" x14ac:dyDescent="0.2">
      <c r="A27" s="42" t="s">
        <v>166</v>
      </c>
      <c r="B27" s="20">
        <v>1377541</v>
      </c>
      <c r="C27" s="20">
        <v>27889</v>
      </c>
      <c r="D27" s="20">
        <v>1393835</v>
      </c>
      <c r="E27" s="20">
        <v>68977</v>
      </c>
      <c r="F27" s="20">
        <v>1490701</v>
      </c>
      <c r="G27" s="43">
        <v>1691706</v>
      </c>
    </row>
    <row r="28" spans="1:7" x14ac:dyDescent="0.2">
      <c r="A28" s="42" t="s">
        <v>167</v>
      </c>
      <c r="B28" s="20">
        <v>440407</v>
      </c>
      <c r="C28" s="20">
        <v>8922</v>
      </c>
      <c r="D28" s="20">
        <v>445925</v>
      </c>
      <c r="E28" s="20">
        <v>22068</v>
      </c>
      <c r="F28" s="20">
        <v>476915</v>
      </c>
      <c r="G28" s="43">
        <v>541223</v>
      </c>
    </row>
    <row r="29" spans="1:7" x14ac:dyDescent="0.2">
      <c r="A29" s="42" t="s">
        <v>168</v>
      </c>
      <c r="B29" s="20">
        <v>306067</v>
      </c>
      <c r="C29" s="20">
        <v>6220</v>
      </c>
      <c r="D29" s="20">
        <v>310874</v>
      </c>
      <c r="E29" s="20">
        <v>15384</v>
      </c>
      <c r="F29" s="20">
        <v>332478</v>
      </c>
      <c r="G29" s="43">
        <v>377309</v>
      </c>
    </row>
    <row r="30" spans="1:7" x14ac:dyDescent="0.2">
      <c r="A30" s="42" t="s">
        <v>169</v>
      </c>
      <c r="B30" s="20">
        <v>188589</v>
      </c>
      <c r="C30" s="20">
        <v>3824</v>
      </c>
      <c r="D30" s="20">
        <v>191111</v>
      </c>
      <c r="E30" s="20">
        <v>9458</v>
      </c>
      <c r="F30" s="20">
        <v>204393</v>
      </c>
      <c r="G30" s="43">
        <v>231953</v>
      </c>
    </row>
    <row r="31" spans="1:7" x14ac:dyDescent="0.2">
      <c r="A31" s="42" t="s">
        <v>170</v>
      </c>
      <c r="B31" s="20">
        <v>296819</v>
      </c>
      <c r="C31" s="20">
        <v>6016</v>
      </c>
      <c r="D31" s="20">
        <v>300681</v>
      </c>
      <c r="E31" s="20">
        <v>14880</v>
      </c>
      <c r="F31" s="20">
        <v>321577</v>
      </c>
      <c r="G31" s="43">
        <v>364939</v>
      </c>
    </row>
    <row r="32" spans="1:7" x14ac:dyDescent="0.2">
      <c r="A32" s="42" t="s">
        <v>171</v>
      </c>
      <c r="B32" s="20">
        <v>42779</v>
      </c>
      <c r="C32" s="20">
        <v>867</v>
      </c>
      <c r="D32" s="20">
        <v>43318</v>
      </c>
      <c r="E32" s="20">
        <v>2144</v>
      </c>
      <c r="F32" s="20">
        <v>46329</v>
      </c>
      <c r="G32" s="43">
        <v>52576</v>
      </c>
    </row>
    <row r="33" spans="1:7" x14ac:dyDescent="0.2">
      <c r="A33" s="42" t="s">
        <v>172</v>
      </c>
      <c r="B33" s="20">
        <v>82053</v>
      </c>
      <c r="C33" s="20">
        <v>1682</v>
      </c>
      <c r="D33" s="20">
        <v>84089</v>
      </c>
      <c r="E33" s="20">
        <v>4161</v>
      </c>
      <c r="F33" s="20">
        <v>89932</v>
      </c>
      <c r="G33" s="43">
        <v>102059</v>
      </c>
    </row>
    <row r="34" spans="1:7" x14ac:dyDescent="0.2">
      <c r="A34" s="42" t="s">
        <v>173</v>
      </c>
      <c r="B34" s="20">
        <v>164587</v>
      </c>
      <c r="C34" s="20">
        <v>3314</v>
      </c>
      <c r="D34" s="20">
        <v>165629</v>
      </c>
      <c r="E34" s="20">
        <v>8197</v>
      </c>
      <c r="F34" s="20">
        <v>177140</v>
      </c>
      <c r="G34" s="43">
        <v>201026</v>
      </c>
    </row>
    <row r="35" spans="1:7" x14ac:dyDescent="0.2">
      <c r="A35" s="42" t="s">
        <v>174</v>
      </c>
      <c r="B35" s="20">
        <v>108038</v>
      </c>
      <c r="C35" s="20">
        <v>2192</v>
      </c>
      <c r="D35" s="20">
        <v>109570</v>
      </c>
      <c r="E35" s="20">
        <v>5422</v>
      </c>
      <c r="F35" s="20">
        <v>117184</v>
      </c>
      <c r="G35" s="43">
        <v>132986</v>
      </c>
    </row>
    <row r="36" spans="1:7" x14ac:dyDescent="0.2">
      <c r="A36" s="42" t="s">
        <v>175</v>
      </c>
      <c r="B36" s="20">
        <v>914887</v>
      </c>
      <c r="C36" s="20">
        <v>18558</v>
      </c>
      <c r="D36" s="20">
        <v>927524</v>
      </c>
      <c r="E36" s="20">
        <v>45900</v>
      </c>
      <c r="F36" s="20">
        <v>991982</v>
      </c>
      <c r="G36" s="43">
        <v>1125743</v>
      </c>
    </row>
    <row r="37" spans="1:7" x14ac:dyDescent="0.2">
      <c r="A37" s="42" t="s">
        <v>176</v>
      </c>
      <c r="B37" s="20">
        <v>92063</v>
      </c>
      <c r="C37" s="20">
        <v>1886</v>
      </c>
      <c r="D37" s="20">
        <v>94281</v>
      </c>
      <c r="E37" s="20">
        <v>4666</v>
      </c>
      <c r="F37" s="20">
        <v>100833</v>
      </c>
      <c r="G37" s="43">
        <v>114430</v>
      </c>
    </row>
    <row r="38" spans="1:7" x14ac:dyDescent="0.2">
      <c r="A38" s="42" t="s">
        <v>177</v>
      </c>
      <c r="B38" s="20">
        <v>2978847</v>
      </c>
      <c r="C38" s="20">
        <v>60366</v>
      </c>
      <c r="D38" s="20">
        <v>3017002</v>
      </c>
      <c r="E38" s="20">
        <v>149302</v>
      </c>
      <c r="F38" s="20">
        <v>3226670</v>
      </c>
      <c r="G38" s="43">
        <v>3661756</v>
      </c>
    </row>
    <row r="39" spans="1:7" x14ac:dyDescent="0.2">
      <c r="A39" s="42" t="s">
        <v>178</v>
      </c>
      <c r="B39" s="20">
        <v>459667</v>
      </c>
      <c r="C39" s="20">
        <v>9330</v>
      </c>
      <c r="D39" s="20">
        <v>466310</v>
      </c>
      <c r="E39" s="20">
        <v>23076</v>
      </c>
      <c r="F39" s="20">
        <v>498716</v>
      </c>
      <c r="G39" s="43">
        <v>565964</v>
      </c>
    </row>
    <row r="40" spans="1:7" x14ac:dyDescent="0.2">
      <c r="A40" s="42" t="s">
        <v>179</v>
      </c>
      <c r="B40" s="20">
        <v>49116</v>
      </c>
      <c r="C40" s="20">
        <v>1020</v>
      </c>
      <c r="D40" s="20">
        <v>50963</v>
      </c>
      <c r="E40" s="20">
        <v>2522</v>
      </c>
      <c r="F40" s="20">
        <v>54505</v>
      </c>
      <c r="G40" s="43">
        <v>61854</v>
      </c>
    </row>
    <row r="41" spans="1:7" x14ac:dyDescent="0.2">
      <c r="A41" s="42" t="s">
        <v>180</v>
      </c>
      <c r="B41" s="20">
        <v>687560</v>
      </c>
      <c r="C41" s="20">
        <v>13919</v>
      </c>
      <c r="D41" s="20">
        <v>695643</v>
      </c>
      <c r="E41" s="20">
        <v>34425</v>
      </c>
      <c r="F41" s="20">
        <v>743987</v>
      </c>
      <c r="G41" s="43">
        <v>844307</v>
      </c>
    </row>
    <row r="42" spans="1:7" x14ac:dyDescent="0.2">
      <c r="A42" s="42" t="s">
        <v>181</v>
      </c>
      <c r="B42" s="20">
        <v>160893</v>
      </c>
      <c r="C42" s="20">
        <v>3263</v>
      </c>
      <c r="D42" s="20">
        <v>163081</v>
      </c>
      <c r="E42" s="20">
        <v>8070</v>
      </c>
      <c r="F42" s="20">
        <v>174414</v>
      </c>
      <c r="G42" s="43">
        <v>197933</v>
      </c>
    </row>
    <row r="43" spans="1:7" x14ac:dyDescent="0.2">
      <c r="A43" s="42" t="s">
        <v>182</v>
      </c>
      <c r="B43" s="20">
        <v>342662</v>
      </c>
      <c r="C43" s="20">
        <v>6934</v>
      </c>
      <c r="D43" s="20">
        <v>346548</v>
      </c>
      <c r="E43" s="20">
        <v>17150</v>
      </c>
      <c r="F43" s="20">
        <v>370632</v>
      </c>
      <c r="G43" s="43">
        <v>420607</v>
      </c>
    </row>
    <row r="44" spans="1:7" x14ac:dyDescent="0.2">
      <c r="A44" s="42" t="s">
        <v>183</v>
      </c>
      <c r="B44" s="20">
        <v>735149</v>
      </c>
      <c r="C44" s="20">
        <v>14887</v>
      </c>
      <c r="D44" s="20">
        <v>744058</v>
      </c>
      <c r="E44" s="20">
        <v>36821</v>
      </c>
      <c r="F44" s="20">
        <v>795766</v>
      </c>
      <c r="G44" s="43">
        <v>903068</v>
      </c>
    </row>
    <row r="45" spans="1:7" x14ac:dyDescent="0.2">
      <c r="A45" s="42" t="s">
        <v>184</v>
      </c>
      <c r="B45" s="20">
        <v>99344</v>
      </c>
      <c r="C45" s="20">
        <v>1988</v>
      </c>
      <c r="D45" s="20">
        <v>99378</v>
      </c>
      <c r="E45" s="20">
        <v>4918</v>
      </c>
      <c r="F45" s="20">
        <v>106284</v>
      </c>
      <c r="G45" s="43">
        <v>120615</v>
      </c>
    </row>
    <row r="46" spans="1:7" x14ac:dyDescent="0.2">
      <c r="A46" s="42" t="s">
        <v>185</v>
      </c>
      <c r="B46" s="20">
        <v>196274</v>
      </c>
      <c r="C46" s="20">
        <v>3977</v>
      </c>
      <c r="D46" s="20">
        <v>198755</v>
      </c>
      <c r="E46" s="20">
        <v>9836</v>
      </c>
      <c r="F46" s="20">
        <v>212568</v>
      </c>
      <c r="G46" s="43">
        <v>241231</v>
      </c>
    </row>
    <row r="47" spans="1:7" x14ac:dyDescent="0.2">
      <c r="A47" s="42" t="s">
        <v>186</v>
      </c>
      <c r="B47" s="20">
        <v>37174</v>
      </c>
      <c r="C47" s="20">
        <v>765</v>
      </c>
      <c r="D47" s="20">
        <v>38222</v>
      </c>
      <c r="E47" s="20">
        <v>1892</v>
      </c>
      <c r="F47" s="20">
        <v>40879</v>
      </c>
      <c r="G47" s="43">
        <v>46391</v>
      </c>
    </row>
    <row r="48" spans="1:7" x14ac:dyDescent="0.2">
      <c r="A48" s="42" t="s">
        <v>187</v>
      </c>
      <c r="B48" s="20">
        <v>282397</v>
      </c>
      <c r="C48" s="20">
        <v>5710</v>
      </c>
      <c r="D48" s="20">
        <v>285392</v>
      </c>
      <c r="E48" s="20">
        <v>14123</v>
      </c>
      <c r="F48" s="20">
        <v>305225</v>
      </c>
      <c r="G48" s="43">
        <v>346382</v>
      </c>
    </row>
    <row r="49" spans="1:7" x14ac:dyDescent="0.2">
      <c r="A49" s="42" t="s">
        <v>188</v>
      </c>
      <c r="B49" s="20">
        <v>1403826</v>
      </c>
      <c r="C49" s="20">
        <v>28449</v>
      </c>
      <c r="D49" s="20">
        <v>1421865</v>
      </c>
      <c r="E49" s="20">
        <v>70364</v>
      </c>
      <c r="F49" s="20">
        <v>1520678</v>
      </c>
      <c r="G49" s="43">
        <v>1725726</v>
      </c>
    </row>
    <row r="50" spans="1:7" x14ac:dyDescent="0.2">
      <c r="A50" s="42" t="s">
        <v>189</v>
      </c>
      <c r="B50" s="20">
        <v>98173</v>
      </c>
      <c r="C50" s="20">
        <v>1988</v>
      </c>
      <c r="D50" s="20">
        <v>99378</v>
      </c>
      <c r="E50" s="20">
        <v>4918</v>
      </c>
      <c r="F50" s="20">
        <v>106284</v>
      </c>
      <c r="G50" s="43">
        <v>120615</v>
      </c>
    </row>
    <row r="51" spans="1:7" x14ac:dyDescent="0.2">
      <c r="A51" s="42" t="s">
        <v>190</v>
      </c>
      <c r="B51" s="20">
        <v>73753</v>
      </c>
      <c r="C51" s="20">
        <v>1479</v>
      </c>
      <c r="D51" s="20">
        <v>73896</v>
      </c>
      <c r="E51" s="20">
        <v>3657</v>
      </c>
      <c r="F51" s="20">
        <v>79032</v>
      </c>
      <c r="G51" s="43">
        <v>89688</v>
      </c>
    </row>
    <row r="52" spans="1:7" x14ac:dyDescent="0.2">
      <c r="A52" s="42" t="s">
        <v>191</v>
      </c>
      <c r="B52" s="20">
        <v>512233</v>
      </c>
      <c r="C52" s="20">
        <v>10401</v>
      </c>
      <c r="D52" s="20">
        <v>519821</v>
      </c>
      <c r="E52" s="20">
        <v>25724</v>
      </c>
      <c r="F52" s="20">
        <v>555946</v>
      </c>
      <c r="G52" s="43">
        <v>630911</v>
      </c>
    </row>
    <row r="53" spans="1:7" x14ac:dyDescent="0.2">
      <c r="A53" s="42" t="s">
        <v>192</v>
      </c>
      <c r="B53" s="20">
        <v>744383</v>
      </c>
      <c r="C53" s="20">
        <v>15091</v>
      </c>
      <c r="D53" s="20">
        <v>754251</v>
      </c>
      <c r="E53" s="20">
        <v>37326</v>
      </c>
      <c r="F53" s="20">
        <v>806668</v>
      </c>
      <c r="G53" s="43">
        <v>915439</v>
      </c>
    </row>
    <row r="54" spans="1:7" x14ac:dyDescent="0.2">
      <c r="A54" s="42" t="s">
        <v>193</v>
      </c>
      <c r="B54" s="20">
        <v>89207</v>
      </c>
      <c r="C54" s="20">
        <v>1784</v>
      </c>
      <c r="D54" s="20">
        <v>89185</v>
      </c>
      <c r="E54" s="20">
        <v>4414</v>
      </c>
      <c r="F54" s="20">
        <v>95383</v>
      </c>
      <c r="G54" s="43">
        <v>108245</v>
      </c>
    </row>
    <row r="55" spans="1:7" x14ac:dyDescent="0.2">
      <c r="A55" s="42" t="s">
        <v>194</v>
      </c>
      <c r="B55" s="20">
        <v>183977</v>
      </c>
      <c r="C55" s="20">
        <v>3722</v>
      </c>
      <c r="D55" s="20">
        <v>186015</v>
      </c>
      <c r="E55" s="20">
        <v>9205</v>
      </c>
      <c r="F55" s="20">
        <v>198942</v>
      </c>
      <c r="G55" s="43">
        <v>225767</v>
      </c>
    </row>
    <row r="56" spans="1:7" x14ac:dyDescent="0.2">
      <c r="A56" s="42" t="s">
        <v>195</v>
      </c>
      <c r="B56" s="20">
        <v>17429</v>
      </c>
      <c r="C56" s="20">
        <v>358</v>
      </c>
      <c r="D56" s="20">
        <v>17838</v>
      </c>
      <c r="E56" s="20">
        <v>882</v>
      </c>
      <c r="F56" s="20">
        <v>19078</v>
      </c>
      <c r="G56" s="43">
        <v>21649</v>
      </c>
    </row>
    <row r="57" spans="1:7" x14ac:dyDescent="0.2">
      <c r="A57" s="42" t="s">
        <v>196</v>
      </c>
      <c r="B57" s="20">
        <v>0</v>
      </c>
      <c r="C57" s="20">
        <v>0</v>
      </c>
      <c r="D57" s="20">
        <v>0</v>
      </c>
      <c r="E57" s="20">
        <v>0</v>
      </c>
      <c r="F57" s="20">
        <v>0</v>
      </c>
      <c r="G57" s="43">
        <v>0</v>
      </c>
    </row>
    <row r="58" spans="1:7" x14ac:dyDescent="0.2">
      <c r="A58" s="42" t="s">
        <v>197</v>
      </c>
      <c r="B58" s="20">
        <v>38996</v>
      </c>
      <c r="C58" s="20">
        <v>765</v>
      </c>
      <c r="D58" s="20">
        <v>38222</v>
      </c>
      <c r="E58" s="20">
        <v>1892</v>
      </c>
      <c r="F58" s="20">
        <v>40879</v>
      </c>
      <c r="G58" s="43">
        <v>46391</v>
      </c>
    </row>
    <row r="59" spans="1:7" x14ac:dyDescent="0.2">
      <c r="A59" s="42" t="s">
        <v>198</v>
      </c>
      <c r="B59" s="20">
        <v>3226</v>
      </c>
      <c r="C59" s="20">
        <v>51</v>
      </c>
      <c r="D59" s="20">
        <v>2548</v>
      </c>
      <c r="E59" s="20">
        <v>126</v>
      </c>
      <c r="F59" s="20">
        <v>2725</v>
      </c>
      <c r="G59" s="43">
        <v>3093</v>
      </c>
    </row>
    <row r="60" spans="1:7" x14ac:dyDescent="0.2">
      <c r="A60" s="42" t="s">
        <v>199</v>
      </c>
      <c r="B60" s="20">
        <v>230538</v>
      </c>
      <c r="C60" s="20">
        <v>4691</v>
      </c>
      <c r="D60" s="20">
        <v>234429</v>
      </c>
      <c r="E60" s="20">
        <v>11601</v>
      </c>
      <c r="F60" s="20">
        <v>250721</v>
      </c>
      <c r="G60" s="43">
        <v>284528</v>
      </c>
    </row>
    <row r="61" spans="1:7" x14ac:dyDescent="0.2">
      <c r="A61" s="42" t="s">
        <v>200</v>
      </c>
      <c r="B61" s="20">
        <v>0</v>
      </c>
      <c r="C61" s="20">
        <v>0</v>
      </c>
      <c r="D61" s="20">
        <v>0</v>
      </c>
      <c r="E61" s="20">
        <v>0</v>
      </c>
      <c r="F61" s="20">
        <v>0</v>
      </c>
      <c r="G61" s="43">
        <v>0</v>
      </c>
    </row>
    <row r="62" spans="1:7" x14ac:dyDescent="0.2">
      <c r="A62" s="42" t="s">
        <v>201</v>
      </c>
      <c r="B62" s="20">
        <v>17228</v>
      </c>
      <c r="C62" s="20">
        <v>358</v>
      </c>
      <c r="D62" s="20">
        <v>17838</v>
      </c>
      <c r="E62" s="20">
        <v>882</v>
      </c>
      <c r="F62" s="20">
        <v>19078</v>
      </c>
      <c r="G62" s="43">
        <v>21649</v>
      </c>
    </row>
    <row r="63" spans="1:7" x14ac:dyDescent="0.2">
      <c r="A63" s="42" t="s">
        <v>202</v>
      </c>
      <c r="B63" s="20">
        <v>0</v>
      </c>
      <c r="C63" s="20">
        <v>0</v>
      </c>
      <c r="D63" s="20">
        <v>0</v>
      </c>
      <c r="E63" s="20">
        <v>0</v>
      </c>
      <c r="F63" s="20">
        <v>0</v>
      </c>
      <c r="G63" s="43">
        <v>0</v>
      </c>
    </row>
    <row r="64" spans="1:7" x14ac:dyDescent="0.2">
      <c r="A64" s="42" t="s">
        <v>203</v>
      </c>
      <c r="B64" s="20">
        <v>0</v>
      </c>
      <c r="C64" s="20" t="s">
        <v>553</v>
      </c>
      <c r="D64" s="20" t="s">
        <v>554</v>
      </c>
      <c r="E64" s="20">
        <v>0</v>
      </c>
      <c r="F64" s="20" t="s">
        <v>555</v>
      </c>
      <c r="G64" s="43">
        <v>0</v>
      </c>
    </row>
    <row r="65" spans="1:7" ht="15" customHeight="1" x14ac:dyDescent="0.2">
      <c r="A65" s="44" t="s">
        <v>204</v>
      </c>
      <c r="B65" s="45">
        <v>25165732</v>
      </c>
      <c r="C65" s="45">
        <v>874088</v>
      </c>
      <c r="D65" s="45">
        <v>25841172</v>
      </c>
      <c r="E65" s="45">
        <v>1261000</v>
      </c>
      <c r="F65" s="45">
        <v>27976260</v>
      </c>
      <c r="G65" s="51">
        <v>30927000</v>
      </c>
    </row>
    <row r="66" spans="1:7" ht="15" customHeight="1" x14ac:dyDescent="0.2">
      <c r="A66" s="101" t="s">
        <v>205</v>
      </c>
      <c r="B66" s="101"/>
      <c r="C66" s="101"/>
      <c r="D66" s="101"/>
      <c r="E66" s="101"/>
      <c r="F66" s="101"/>
      <c r="G66" s="101"/>
    </row>
    <row r="67" spans="1:7" ht="41.25" customHeight="1" x14ac:dyDescent="0.2">
      <c r="A67" s="102" t="s">
        <v>607</v>
      </c>
      <c r="B67" s="102"/>
      <c r="C67" s="102"/>
      <c r="D67" s="102"/>
      <c r="E67" s="102"/>
      <c r="F67" s="102"/>
      <c r="G67" s="102"/>
    </row>
    <row r="68" spans="1:7" ht="29.25" customHeight="1" x14ac:dyDescent="0.2">
      <c r="A68" s="102" t="s">
        <v>608</v>
      </c>
      <c r="B68" s="102"/>
      <c r="C68" s="102"/>
      <c r="D68" s="102"/>
      <c r="E68" s="102"/>
      <c r="F68" s="102"/>
      <c r="G68" s="102"/>
    </row>
    <row r="69" spans="1:7" ht="15" customHeight="1" x14ac:dyDescent="0.2">
      <c r="A69" s="102" t="s">
        <v>583</v>
      </c>
      <c r="B69" s="103"/>
      <c r="C69" s="103"/>
      <c r="D69" s="103"/>
      <c r="E69" s="103"/>
      <c r="F69" s="103"/>
      <c r="G69" s="103"/>
    </row>
  </sheetData>
  <mergeCells count="8">
    <mergeCell ref="A68:G68"/>
    <mergeCell ref="A69:G69"/>
    <mergeCell ref="A4:A5"/>
    <mergeCell ref="B4:B5"/>
    <mergeCell ref="F4:F5"/>
    <mergeCell ref="G4:G5"/>
    <mergeCell ref="A66:G66"/>
    <mergeCell ref="A67:G67"/>
  </mergeCells>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242</v>
      </c>
      <c r="B1" s="16"/>
      <c r="C1" s="16"/>
      <c r="D1" s="16"/>
      <c r="E1" s="16"/>
      <c r="F1" s="16"/>
      <c r="G1" s="15" t="s">
        <v>244</v>
      </c>
    </row>
    <row r="2" spans="1:7" x14ac:dyDescent="0.2">
      <c r="A2" s="17" t="s">
        <v>355</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141249</v>
      </c>
      <c r="C6" s="20">
        <v>13927</v>
      </c>
      <c r="D6" s="20" t="s">
        <v>556</v>
      </c>
      <c r="E6" s="20">
        <v>0</v>
      </c>
      <c r="F6" s="20">
        <v>13927</v>
      </c>
      <c r="G6" s="43" t="s">
        <v>556</v>
      </c>
    </row>
    <row r="7" spans="1:7" x14ac:dyDescent="0.2">
      <c r="A7" s="42" t="s">
        <v>146</v>
      </c>
      <c r="B7" s="20">
        <v>9549</v>
      </c>
      <c r="C7" s="20">
        <v>942</v>
      </c>
      <c r="D7" s="20" t="s">
        <v>556</v>
      </c>
      <c r="E7" s="20">
        <v>0</v>
      </c>
      <c r="F7" s="20">
        <v>942</v>
      </c>
      <c r="G7" s="43" t="s">
        <v>556</v>
      </c>
    </row>
    <row r="8" spans="1:7" x14ac:dyDescent="0.2">
      <c r="A8" s="42" t="s">
        <v>147</v>
      </c>
      <c r="B8" s="20">
        <v>20346</v>
      </c>
      <c r="C8" s="20">
        <v>2006</v>
      </c>
      <c r="D8" s="20" t="s">
        <v>556</v>
      </c>
      <c r="E8" s="20">
        <v>0</v>
      </c>
      <c r="F8" s="20">
        <v>2006</v>
      </c>
      <c r="G8" s="43" t="s">
        <v>556</v>
      </c>
    </row>
    <row r="9" spans="1:7" x14ac:dyDescent="0.2">
      <c r="A9" s="42" t="s">
        <v>148</v>
      </c>
      <c r="B9" s="20">
        <v>33025</v>
      </c>
      <c r="C9" s="20">
        <v>3256</v>
      </c>
      <c r="D9" s="20" t="s">
        <v>556</v>
      </c>
      <c r="E9" s="20">
        <v>0</v>
      </c>
      <c r="F9" s="20">
        <v>3256</v>
      </c>
      <c r="G9" s="43" t="s">
        <v>556</v>
      </c>
    </row>
    <row r="10" spans="1:7" x14ac:dyDescent="0.2">
      <c r="A10" s="42" t="s">
        <v>149</v>
      </c>
      <c r="B10" s="20">
        <v>113129</v>
      </c>
      <c r="C10" s="20">
        <v>11155</v>
      </c>
      <c r="D10" s="20" t="s">
        <v>556</v>
      </c>
      <c r="E10" s="20">
        <v>0</v>
      </c>
      <c r="F10" s="20">
        <v>11155</v>
      </c>
      <c r="G10" s="43" t="s">
        <v>556</v>
      </c>
    </row>
    <row r="11" spans="1:7" x14ac:dyDescent="0.2">
      <c r="A11" s="42" t="s">
        <v>150</v>
      </c>
      <c r="B11" s="20">
        <v>31139</v>
      </c>
      <c r="C11" s="20">
        <v>3070</v>
      </c>
      <c r="D11" s="20" t="s">
        <v>556</v>
      </c>
      <c r="E11" s="20">
        <v>0</v>
      </c>
      <c r="F11" s="20">
        <v>3070</v>
      </c>
      <c r="G11" s="43" t="s">
        <v>556</v>
      </c>
    </row>
    <row r="12" spans="1:7" x14ac:dyDescent="0.2">
      <c r="A12" s="42" t="s">
        <v>151</v>
      </c>
      <c r="B12" s="20">
        <v>75504</v>
      </c>
      <c r="C12" s="20">
        <v>7445</v>
      </c>
      <c r="D12" s="20" t="s">
        <v>556</v>
      </c>
      <c r="E12" s="20">
        <v>0</v>
      </c>
      <c r="F12" s="20">
        <v>7445</v>
      </c>
      <c r="G12" s="43" t="s">
        <v>556</v>
      </c>
    </row>
    <row r="13" spans="1:7" x14ac:dyDescent="0.2">
      <c r="A13" s="42" t="s">
        <v>152</v>
      </c>
      <c r="B13" s="20">
        <v>13163</v>
      </c>
      <c r="C13" s="20">
        <v>1298</v>
      </c>
      <c r="D13" s="20" t="s">
        <v>556</v>
      </c>
      <c r="E13" s="20">
        <v>0</v>
      </c>
      <c r="F13" s="20">
        <v>1298</v>
      </c>
      <c r="G13" s="43" t="s">
        <v>556</v>
      </c>
    </row>
    <row r="14" spans="1:7" x14ac:dyDescent="0.2">
      <c r="A14" s="42" t="s">
        <v>153</v>
      </c>
      <c r="B14" s="20">
        <v>63399</v>
      </c>
      <c r="C14" s="20">
        <v>6251</v>
      </c>
      <c r="D14" s="20" t="s">
        <v>556</v>
      </c>
      <c r="E14" s="20">
        <v>0</v>
      </c>
      <c r="F14" s="20">
        <v>6251</v>
      </c>
      <c r="G14" s="43" t="s">
        <v>556</v>
      </c>
    </row>
    <row r="15" spans="1:7" x14ac:dyDescent="0.2">
      <c r="A15" s="42" t="s">
        <v>154</v>
      </c>
      <c r="B15" s="20">
        <v>133564</v>
      </c>
      <c r="C15" s="20">
        <v>13169</v>
      </c>
      <c r="D15" s="20" t="s">
        <v>556</v>
      </c>
      <c r="E15" s="20">
        <v>0</v>
      </c>
      <c r="F15" s="20">
        <v>13169</v>
      </c>
      <c r="G15" s="43" t="s">
        <v>556</v>
      </c>
    </row>
    <row r="16" spans="1:7" x14ac:dyDescent="0.2">
      <c r="A16" s="42" t="s">
        <v>155</v>
      </c>
      <c r="B16" s="20">
        <v>120218</v>
      </c>
      <c r="C16" s="20">
        <v>11853</v>
      </c>
      <c r="D16" s="20" t="s">
        <v>556</v>
      </c>
      <c r="E16" s="20">
        <v>0</v>
      </c>
      <c r="F16" s="20">
        <v>11853</v>
      </c>
      <c r="G16" s="43" t="s">
        <v>556</v>
      </c>
    </row>
    <row r="17" spans="1:7" x14ac:dyDescent="0.2">
      <c r="A17" s="42" t="s">
        <v>156</v>
      </c>
      <c r="B17" s="20">
        <v>28627</v>
      </c>
      <c r="C17" s="20">
        <v>2823</v>
      </c>
      <c r="D17" s="20" t="s">
        <v>556</v>
      </c>
      <c r="E17" s="20">
        <v>0</v>
      </c>
      <c r="F17" s="20">
        <v>2823</v>
      </c>
      <c r="G17" s="43" t="s">
        <v>556</v>
      </c>
    </row>
    <row r="18" spans="1:7" x14ac:dyDescent="0.2">
      <c r="A18" s="42" t="s">
        <v>157</v>
      </c>
      <c r="B18" s="20">
        <v>1417</v>
      </c>
      <c r="C18" s="20">
        <v>140</v>
      </c>
      <c r="D18" s="20" t="s">
        <v>556</v>
      </c>
      <c r="E18" s="20">
        <v>0</v>
      </c>
      <c r="F18" s="20">
        <v>140</v>
      </c>
      <c r="G18" s="43" t="s">
        <v>556</v>
      </c>
    </row>
    <row r="19" spans="1:7" x14ac:dyDescent="0.2">
      <c r="A19" s="42" t="s">
        <v>158</v>
      </c>
      <c r="B19" s="20">
        <v>265580</v>
      </c>
      <c r="C19" s="20">
        <v>26186</v>
      </c>
      <c r="D19" s="20" t="s">
        <v>556</v>
      </c>
      <c r="E19" s="20">
        <v>0</v>
      </c>
      <c r="F19" s="20">
        <v>26186</v>
      </c>
      <c r="G19" s="43" t="s">
        <v>556</v>
      </c>
    </row>
    <row r="20" spans="1:7" x14ac:dyDescent="0.2">
      <c r="A20" s="42" t="s">
        <v>159</v>
      </c>
      <c r="B20" s="20">
        <v>43772</v>
      </c>
      <c r="C20" s="20">
        <v>4316</v>
      </c>
      <c r="D20" s="20" t="s">
        <v>556</v>
      </c>
      <c r="E20" s="20">
        <v>0</v>
      </c>
      <c r="F20" s="20">
        <v>4316</v>
      </c>
      <c r="G20" s="43" t="s">
        <v>556</v>
      </c>
    </row>
    <row r="21" spans="1:7" x14ac:dyDescent="0.2">
      <c r="A21" s="42" t="s">
        <v>160</v>
      </c>
      <c r="B21" s="20">
        <v>8561</v>
      </c>
      <c r="C21" s="20">
        <v>844</v>
      </c>
      <c r="D21" s="20" t="s">
        <v>556</v>
      </c>
      <c r="E21" s="20">
        <v>0</v>
      </c>
      <c r="F21" s="20">
        <v>844</v>
      </c>
      <c r="G21" s="43" t="s">
        <v>556</v>
      </c>
    </row>
    <row r="22" spans="1:7" x14ac:dyDescent="0.2">
      <c r="A22" s="42" t="s">
        <v>161</v>
      </c>
      <c r="B22" s="20">
        <v>25587</v>
      </c>
      <c r="C22" s="20">
        <v>2523</v>
      </c>
      <c r="D22" s="20" t="s">
        <v>556</v>
      </c>
      <c r="E22" s="20">
        <v>0</v>
      </c>
      <c r="F22" s="20">
        <v>2523</v>
      </c>
      <c r="G22" s="43" t="s">
        <v>556</v>
      </c>
    </row>
    <row r="23" spans="1:7" x14ac:dyDescent="0.2">
      <c r="A23" s="42" t="s">
        <v>162</v>
      </c>
      <c r="B23" s="20">
        <v>67612</v>
      </c>
      <c r="C23" s="20">
        <v>6667</v>
      </c>
      <c r="D23" s="20" t="s">
        <v>556</v>
      </c>
      <c r="E23" s="20">
        <v>0</v>
      </c>
      <c r="F23" s="20">
        <v>6667</v>
      </c>
      <c r="G23" s="43" t="s">
        <v>556</v>
      </c>
    </row>
    <row r="24" spans="1:7" x14ac:dyDescent="0.2">
      <c r="A24" s="42" t="s">
        <v>163</v>
      </c>
      <c r="B24" s="20">
        <v>63530</v>
      </c>
      <c r="C24" s="20">
        <v>6264</v>
      </c>
      <c r="D24" s="20" t="s">
        <v>556</v>
      </c>
      <c r="E24" s="20">
        <v>0</v>
      </c>
      <c r="F24" s="20">
        <v>6264</v>
      </c>
      <c r="G24" s="43" t="s">
        <v>556</v>
      </c>
    </row>
    <row r="25" spans="1:7" x14ac:dyDescent="0.2">
      <c r="A25" s="42" t="s">
        <v>164</v>
      </c>
      <c r="B25" s="20">
        <v>17048</v>
      </c>
      <c r="C25" s="20">
        <v>1681</v>
      </c>
      <c r="D25" s="20" t="s">
        <v>556</v>
      </c>
      <c r="E25" s="20">
        <v>0</v>
      </c>
      <c r="F25" s="20">
        <v>1681</v>
      </c>
      <c r="G25" s="43" t="s">
        <v>556</v>
      </c>
    </row>
    <row r="26" spans="1:7" x14ac:dyDescent="0.2">
      <c r="A26" s="42" t="s">
        <v>165</v>
      </c>
      <c r="B26" s="20">
        <v>93789</v>
      </c>
      <c r="C26" s="20">
        <v>9248</v>
      </c>
      <c r="D26" s="20" t="s">
        <v>556</v>
      </c>
      <c r="E26" s="20">
        <v>0</v>
      </c>
      <c r="F26" s="20">
        <v>9248</v>
      </c>
      <c r="G26" s="43" t="s">
        <v>556</v>
      </c>
    </row>
    <row r="27" spans="1:7" x14ac:dyDescent="0.2">
      <c r="A27" s="42" t="s">
        <v>166</v>
      </c>
      <c r="B27" s="20">
        <v>184670</v>
      </c>
      <c r="C27" s="20">
        <v>18209</v>
      </c>
      <c r="D27" s="20" t="s">
        <v>556</v>
      </c>
      <c r="E27" s="20">
        <v>0</v>
      </c>
      <c r="F27" s="20">
        <v>18209</v>
      </c>
      <c r="G27" s="43" t="s">
        <v>556</v>
      </c>
    </row>
    <row r="28" spans="1:7" x14ac:dyDescent="0.2">
      <c r="A28" s="42" t="s">
        <v>167</v>
      </c>
      <c r="B28" s="20">
        <v>76148</v>
      </c>
      <c r="C28" s="20">
        <v>7508</v>
      </c>
      <c r="D28" s="20" t="s">
        <v>556</v>
      </c>
      <c r="E28" s="20">
        <v>0</v>
      </c>
      <c r="F28" s="20">
        <v>7508</v>
      </c>
      <c r="G28" s="43" t="s">
        <v>556</v>
      </c>
    </row>
    <row r="29" spans="1:7" x14ac:dyDescent="0.2">
      <c r="A29" s="42" t="s">
        <v>168</v>
      </c>
      <c r="B29" s="20">
        <v>56845</v>
      </c>
      <c r="C29" s="20">
        <v>5605</v>
      </c>
      <c r="D29" s="20" t="s">
        <v>556</v>
      </c>
      <c r="E29" s="20">
        <v>0</v>
      </c>
      <c r="F29" s="20">
        <v>5605</v>
      </c>
      <c r="G29" s="43" t="s">
        <v>556</v>
      </c>
    </row>
    <row r="30" spans="1:7" x14ac:dyDescent="0.2">
      <c r="A30" s="42" t="s">
        <v>169</v>
      </c>
      <c r="B30" s="20">
        <v>27638</v>
      </c>
      <c r="C30" s="20">
        <v>2725</v>
      </c>
      <c r="D30" s="20" t="s">
        <v>556</v>
      </c>
      <c r="E30" s="20">
        <v>0</v>
      </c>
      <c r="F30" s="20">
        <v>2725</v>
      </c>
      <c r="G30" s="43" t="s">
        <v>556</v>
      </c>
    </row>
    <row r="31" spans="1:7" x14ac:dyDescent="0.2">
      <c r="A31" s="42" t="s">
        <v>170</v>
      </c>
      <c r="B31" s="20">
        <v>51568</v>
      </c>
      <c r="C31" s="20">
        <v>5085</v>
      </c>
      <c r="D31" s="20" t="s">
        <v>556</v>
      </c>
      <c r="E31" s="20">
        <v>0</v>
      </c>
      <c r="F31" s="20">
        <v>5085</v>
      </c>
      <c r="G31" s="43" t="s">
        <v>556</v>
      </c>
    </row>
    <row r="32" spans="1:7" x14ac:dyDescent="0.2">
      <c r="A32" s="42" t="s">
        <v>171</v>
      </c>
      <c r="B32" s="20">
        <v>6559</v>
      </c>
      <c r="C32" s="20">
        <v>647</v>
      </c>
      <c r="D32" s="20" t="s">
        <v>556</v>
      </c>
      <c r="E32" s="20">
        <v>0</v>
      </c>
      <c r="F32" s="20">
        <v>647</v>
      </c>
      <c r="G32" s="43" t="s">
        <v>556</v>
      </c>
    </row>
    <row r="33" spans="1:7" x14ac:dyDescent="0.2">
      <c r="A33" s="42" t="s">
        <v>172</v>
      </c>
      <c r="B33" s="20">
        <v>17426</v>
      </c>
      <c r="C33" s="20">
        <v>1718</v>
      </c>
      <c r="D33" s="20" t="s">
        <v>556</v>
      </c>
      <c r="E33" s="20">
        <v>0</v>
      </c>
      <c r="F33" s="20">
        <v>1718</v>
      </c>
      <c r="G33" s="43" t="s">
        <v>556</v>
      </c>
    </row>
    <row r="34" spans="1:7" x14ac:dyDescent="0.2">
      <c r="A34" s="42" t="s">
        <v>173</v>
      </c>
      <c r="B34" s="20">
        <v>14326</v>
      </c>
      <c r="C34" s="20">
        <v>1413</v>
      </c>
      <c r="D34" s="20" t="s">
        <v>556</v>
      </c>
      <c r="E34" s="20">
        <v>0</v>
      </c>
      <c r="F34" s="20">
        <v>1413</v>
      </c>
      <c r="G34" s="43" t="s">
        <v>556</v>
      </c>
    </row>
    <row r="35" spans="1:7" x14ac:dyDescent="0.2">
      <c r="A35" s="42" t="s">
        <v>174</v>
      </c>
      <c r="B35" s="20">
        <v>13140</v>
      </c>
      <c r="C35" s="20">
        <v>1296</v>
      </c>
      <c r="D35" s="20" t="s">
        <v>556</v>
      </c>
      <c r="E35" s="20">
        <v>0</v>
      </c>
      <c r="F35" s="20">
        <v>1296</v>
      </c>
      <c r="G35" s="43" t="s">
        <v>556</v>
      </c>
    </row>
    <row r="36" spans="1:7" x14ac:dyDescent="0.2">
      <c r="A36" s="42" t="s">
        <v>175</v>
      </c>
      <c r="B36" s="20">
        <v>161899</v>
      </c>
      <c r="C36" s="20">
        <v>15963</v>
      </c>
      <c r="D36" s="20" t="s">
        <v>556</v>
      </c>
      <c r="E36" s="20">
        <v>0</v>
      </c>
      <c r="F36" s="20">
        <v>15963</v>
      </c>
      <c r="G36" s="43" t="s">
        <v>556</v>
      </c>
    </row>
    <row r="37" spans="1:7" x14ac:dyDescent="0.2">
      <c r="A37" s="42" t="s">
        <v>176</v>
      </c>
      <c r="B37" s="20">
        <v>13929</v>
      </c>
      <c r="C37" s="20">
        <v>1373</v>
      </c>
      <c r="D37" s="20" t="s">
        <v>556</v>
      </c>
      <c r="E37" s="20">
        <v>0</v>
      </c>
      <c r="F37" s="20">
        <v>1373</v>
      </c>
      <c r="G37" s="43" t="s">
        <v>556</v>
      </c>
    </row>
    <row r="38" spans="1:7" x14ac:dyDescent="0.2">
      <c r="A38" s="42" t="s">
        <v>177</v>
      </c>
      <c r="B38" s="20">
        <v>1140439</v>
      </c>
      <c r="C38" s="20">
        <v>112447</v>
      </c>
      <c r="D38" s="20" t="s">
        <v>556</v>
      </c>
      <c r="E38" s="20">
        <v>0</v>
      </c>
      <c r="F38" s="20">
        <v>112447</v>
      </c>
      <c r="G38" s="43" t="s">
        <v>556</v>
      </c>
    </row>
    <row r="39" spans="1:7" x14ac:dyDescent="0.2">
      <c r="A39" s="42" t="s">
        <v>178</v>
      </c>
      <c r="B39" s="20">
        <v>116163</v>
      </c>
      <c r="C39" s="20">
        <v>11454</v>
      </c>
      <c r="D39" s="20" t="s">
        <v>556</v>
      </c>
      <c r="E39" s="20">
        <v>0</v>
      </c>
      <c r="F39" s="20">
        <v>11454</v>
      </c>
      <c r="G39" s="43" t="s">
        <v>556</v>
      </c>
    </row>
    <row r="40" spans="1:7" x14ac:dyDescent="0.2">
      <c r="A40" s="42" t="s">
        <v>179</v>
      </c>
      <c r="B40" s="20">
        <v>4462</v>
      </c>
      <c r="C40" s="20">
        <v>440</v>
      </c>
      <c r="D40" s="20" t="s">
        <v>556</v>
      </c>
      <c r="E40" s="20">
        <v>0</v>
      </c>
      <c r="F40" s="20">
        <v>440</v>
      </c>
      <c r="G40" s="43" t="s">
        <v>556</v>
      </c>
    </row>
    <row r="41" spans="1:7" x14ac:dyDescent="0.2">
      <c r="A41" s="42" t="s">
        <v>180</v>
      </c>
      <c r="B41" s="20">
        <v>206354</v>
      </c>
      <c r="C41" s="20">
        <v>20347</v>
      </c>
      <c r="D41" s="20" t="s">
        <v>556</v>
      </c>
      <c r="E41" s="20">
        <v>0</v>
      </c>
      <c r="F41" s="20">
        <v>20347</v>
      </c>
      <c r="G41" s="43" t="s">
        <v>556</v>
      </c>
    </row>
    <row r="42" spans="1:7" x14ac:dyDescent="0.2">
      <c r="A42" s="42" t="s">
        <v>181</v>
      </c>
      <c r="B42" s="20">
        <v>46504</v>
      </c>
      <c r="C42" s="20">
        <v>4585</v>
      </c>
      <c r="D42" s="20" t="s">
        <v>556</v>
      </c>
      <c r="E42" s="20">
        <v>0</v>
      </c>
      <c r="F42" s="20">
        <v>4585</v>
      </c>
      <c r="G42" s="43" t="s">
        <v>556</v>
      </c>
    </row>
    <row r="43" spans="1:7" x14ac:dyDescent="0.2">
      <c r="A43" s="42" t="s">
        <v>182</v>
      </c>
      <c r="B43" s="20">
        <v>18813</v>
      </c>
      <c r="C43" s="20">
        <v>1855</v>
      </c>
      <c r="D43" s="20" t="s">
        <v>556</v>
      </c>
      <c r="E43" s="20">
        <v>0</v>
      </c>
      <c r="F43" s="20">
        <v>1855</v>
      </c>
      <c r="G43" s="43" t="s">
        <v>556</v>
      </c>
    </row>
    <row r="44" spans="1:7" x14ac:dyDescent="0.2">
      <c r="A44" s="42" t="s">
        <v>183</v>
      </c>
      <c r="B44" s="20">
        <v>378567</v>
      </c>
      <c r="C44" s="20">
        <v>37327</v>
      </c>
      <c r="D44" s="20" t="s">
        <v>556</v>
      </c>
      <c r="E44" s="20">
        <v>0</v>
      </c>
      <c r="F44" s="20">
        <v>37327</v>
      </c>
      <c r="G44" s="43" t="s">
        <v>556</v>
      </c>
    </row>
    <row r="45" spans="1:7" x14ac:dyDescent="0.2">
      <c r="A45" s="42" t="s">
        <v>184</v>
      </c>
      <c r="B45" s="20">
        <v>40700</v>
      </c>
      <c r="C45" s="20">
        <v>4013</v>
      </c>
      <c r="D45" s="20" t="s">
        <v>556</v>
      </c>
      <c r="E45" s="20">
        <v>0</v>
      </c>
      <c r="F45" s="20">
        <v>4013</v>
      </c>
      <c r="G45" s="43" t="s">
        <v>556</v>
      </c>
    </row>
    <row r="46" spans="1:7" x14ac:dyDescent="0.2">
      <c r="A46" s="42" t="s">
        <v>185</v>
      </c>
      <c r="B46" s="20">
        <v>54965</v>
      </c>
      <c r="C46" s="20">
        <v>5420</v>
      </c>
      <c r="D46" s="20" t="s">
        <v>556</v>
      </c>
      <c r="E46" s="20">
        <v>0</v>
      </c>
      <c r="F46" s="20">
        <v>5420</v>
      </c>
      <c r="G46" s="43" t="s">
        <v>556</v>
      </c>
    </row>
    <row r="47" spans="1:7" x14ac:dyDescent="0.2">
      <c r="A47" s="42" t="s">
        <v>186</v>
      </c>
      <c r="B47" s="20">
        <v>3544</v>
      </c>
      <c r="C47" s="20">
        <v>349</v>
      </c>
      <c r="D47" s="20" t="s">
        <v>556</v>
      </c>
      <c r="E47" s="20">
        <v>0</v>
      </c>
      <c r="F47" s="20">
        <v>349</v>
      </c>
      <c r="G47" s="43" t="s">
        <v>556</v>
      </c>
    </row>
    <row r="48" spans="1:7" x14ac:dyDescent="0.2">
      <c r="A48" s="42" t="s">
        <v>187</v>
      </c>
      <c r="B48" s="20">
        <v>82412</v>
      </c>
      <c r="C48" s="20">
        <v>8126</v>
      </c>
      <c r="D48" s="20" t="s">
        <v>556</v>
      </c>
      <c r="E48" s="20">
        <v>0</v>
      </c>
      <c r="F48" s="20">
        <v>8126</v>
      </c>
      <c r="G48" s="43" t="s">
        <v>556</v>
      </c>
    </row>
    <row r="49" spans="1:7" x14ac:dyDescent="0.2">
      <c r="A49" s="42" t="s">
        <v>188</v>
      </c>
      <c r="B49" s="20">
        <v>157320</v>
      </c>
      <c r="C49" s="20">
        <v>15512</v>
      </c>
      <c r="D49" s="20" t="s">
        <v>556</v>
      </c>
      <c r="E49" s="20">
        <v>0</v>
      </c>
      <c r="F49" s="20">
        <v>15512</v>
      </c>
      <c r="G49" s="43" t="s">
        <v>556</v>
      </c>
    </row>
    <row r="50" spans="1:7" x14ac:dyDescent="0.2">
      <c r="A50" s="42" t="s">
        <v>189</v>
      </c>
      <c r="B50" s="20">
        <v>4390</v>
      </c>
      <c r="C50" s="20">
        <v>433</v>
      </c>
      <c r="D50" s="20" t="s">
        <v>556</v>
      </c>
      <c r="E50" s="20">
        <v>0</v>
      </c>
      <c r="F50" s="20">
        <v>433</v>
      </c>
      <c r="G50" s="43" t="s">
        <v>556</v>
      </c>
    </row>
    <row r="51" spans="1:7" x14ac:dyDescent="0.2">
      <c r="A51" s="42" t="s">
        <v>190</v>
      </c>
      <c r="B51" s="20">
        <v>1987</v>
      </c>
      <c r="C51" s="20">
        <v>196</v>
      </c>
      <c r="D51" s="20" t="s">
        <v>556</v>
      </c>
      <c r="E51" s="20">
        <v>0</v>
      </c>
      <c r="F51" s="20">
        <v>196</v>
      </c>
      <c r="G51" s="43" t="s">
        <v>556</v>
      </c>
    </row>
    <row r="52" spans="1:7" x14ac:dyDescent="0.2">
      <c r="A52" s="42" t="s">
        <v>191</v>
      </c>
      <c r="B52" s="20">
        <v>80065</v>
      </c>
      <c r="C52" s="20">
        <v>7894</v>
      </c>
      <c r="D52" s="20" t="s">
        <v>556</v>
      </c>
      <c r="E52" s="20">
        <v>0</v>
      </c>
      <c r="F52" s="20">
        <v>7894</v>
      </c>
      <c r="G52" s="43" t="s">
        <v>556</v>
      </c>
    </row>
    <row r="53" spans="1:7" x14ac:dyDescent="0.2">
      <c r="A53" s="42" t="s">
        <v>192</v>
      </c>
      <c r="B53" s="20">
        <v>61174</v>
      </c>
      <c r="C53" s="20">
        <v>6032</v>
      </c>
      <c r="D53" s="20" t="s">
        <v>556</v>
      </c>
      <c r="E53" s="20">
        <v>0</v>
      </c>
      <c r="F53" s="20">
        <v>6032</v>
      </c>
      <c r="G53" s="43" t="s">
        <v>556</v>
      </c>
    </row>
    <row r="54" spans="1:7" x14ac:dyDescent="0.2">
      <c r="A54" s="42" t="s">
        <v>193</v>
      </c>
      <c r="B54" s="20">
        <v>21112</v>
      </c>
      <c r="C54" s="20">
        <v>2082</v>
      </c>
      <c r="D54" s="20" t="s">
        <v>556</v>
      </c>
      <c r="E54" s="20">
        <v>0</v>
      </c>
      <c r="F54" s="20">
        <v>2082</v>
      </c>
      <c r="G54" s="43" t="s">
        <v>556</v>
      </c>
    </row>
    <row r="55" spans="1:7" x14ac:dyDescent="0.2">
      <c r="A55" s="42" t="s">
        <v>194</v>
      </c>
      <c r="B55" s="20">
        <v>18756</v>
      </c>
      <c r="C55" s="20">
        <v>1849</v>
      </c>
      <c r="D55" s="20" t="s">
        <v>556</v>
      </c>
      <c r="E55" s="20">
        <v>0</v>
      </c>
      <c r="F55" s="20">
        <v>1849</v>
      </c>
      <c r="G55" s="43" t="s">
        <v>556</v>
      </c>
    </row>
    <row r="56" spans="1:7" x14ac:dyDescent="0.2">
      <c r="A56" s="42" t="s">
        <v>195</v>
      </c>
      <c r="B56" s="20">
        <v>2345</v>
      </c>
      <c r="C56" s="20">
        <v>231</v>
      </c>
      <c r="D56" s="20" t="s">
        <v>556</v>
      </c>
      <c r="E56" s="20">
        <v>0</v>
      </c>
      <c r="F56" s="20">
        <v>231</v>
      </c>
      <c r="G56" s="43" t="s">
        <v>556</v>
      </c>
    </row>
    <row r="57" spans="1:7" x14ac:dyDescent="0.2">
      <c r="A57" s="42" t="s">
        <v>196</v>
      </c>
      <c r="B57" s="20">
        <v>0</v>
      </c>
      <c r="C57" s="20">
        <v>0</v>
      </c>
      <c r="D57" s="20" t="s">
        <v>556</v>
      </c>
      <c r="E57" s="20">
        <v>0</v>
      </c>
      <c r="F57" s="20">
        <v>0</v>
      </c>
      <c r="G57" s="43" t="s">
        <v>556</v>
      </c>
    </row>
    <row r="58" spans="1:7" x14ac:dyDescent="0.2">
      <c r="A58" s="42" t="s">
        <v>197</v>
      </c>
      <c r="B58" s="20">
        <v>5167</v>
      </c>
      <c r="C58" s="20">
        <v>509</v>
      </c>
      <c r="D58" s="20" t="s">
        <v>556</v>
      </c>
      <c r="E58" s="20">
        <v>0</v>
      </c>
      <c r="F58" s="20">
        <v>509</v>
      </c>
      <c r="G58" s="43" t="s">
        <v>556</v>
      </c>
    </row>
    <row r="59" spans="1:7" x14ac:dyDescent="0.2">
      <c r="A59" s="42" t="s">
        <v>198</v>
      </c>
      <c r="B59" s="20">
        <v>0</v>
      </c>
      <c r="C59" s="20">
        <v>0</v>
      </c>
      <c r="D59" s="20" t="s">
        <v>556</v>
      </c>
      <c r="E59" s="20">
        <v>0</v>
      </c>
      <c r="F59" s="20">
        <v>0</v>
      </c>
      <c r="G59" s="43" t="s">
        <v>556</v>
      </c>
    </row>
    <row r="60" spans="1:7" x14ac:dyDescent="0.2">
      <c r="A60" s="42" t="s">
        <v>199</v>
      </c>
      <c r="B60" s="20">
        <v>297001</v>
      </c>
      <c r="C60" s="20">
        <v>29284</v>
      </c>
      <c r="D60" s="20" t="s">
        <v>556</v>
      </c>
      <c r="E60" s="20">
        <v>0</v>
      </c>
      <c r="F60" s="20">
        <v>29284</v>
      </c>
      <c r="G60" s="43" t="s">
        <v>556</v>
      </c>
    </row>
    <row r="61" spans="1:7" x14ac:dyDescent="0.2">
      <c r="A61" s="42" t="s">
        <v>200</v>
      </c>
      <c r="B61" s="20">
        <v>0</v>
      </c>
      <c r="C61" s="20">
        <v>0</v>
      </c>
      <c r="D61" s="20" t="s">
        <v>556</v>
      </c>
      <c r="E61" s="20">
        <v>0</v>
      </c>
      <c r="F61" s="20">
        <v>0</v>
      </c>
      <c r="G61" s="43" t="s">
        <v>556</v>
      </c>
    </row>
    <row r="62" spans="1:7" x14ac:dyDescent="0.2">
      <c r="A62" s="42" t="s">
        <v>201</v>
      </c>
      <c r="B62" s="20">
        <v>22439</v>
      </c>
      <c r="C62" s="20">
        <v>2212</v>
      </c>
      <c r="D62" s="20" t="s">
        <v>556</v>
      </c>
      <c r="E62" s="20">
        <v>0</v>
      </c>
      <c r="F62" s="20">
        <v>2212</v>
      </c>
      <c r="G62" s="43" t="s">
        <v>556</v>
      </c>
    </row>
    <row r="63" spans="1:7" x14ac:dyDescent="0.2">
      <c r="A63" s="42" t="s">
        <v>202</v>
      </c>
      <c r="B63" s="20">
        <v>0</v>
      </c>
      <c r="C63" s="20">
        <v>0</v>
      </c>
      <c r="D63" s="20" t="s">
        <v>556</v>
      </c>
      <c r="E63" s="20">
        <v>0</v>
      </c>
      <c r="F63" s="20">
        <v>0</v>
      </c>
      <c r="G63" s="43" t="s">
        <v>556</v>
      </c>
    </row>
    <row r="64" spans="1:7" x14ac:dyDescent="0.2">
      <c r="A64" s="42" t="s">
        <v>203</v>
      </c>
      <c r="B64" s="20">
        <v>0</v>
      </c>
      <c r="C64" s="20">
        <v>0</v>
      </c>
      <c r="D64" s="20" t="s">
        <v>556</v>
      </c>
      <c r="E64" s="20">
        <v>0</v>
      </c>
      <c r="F64" s="20">
        <v>0</v>
      </c>
      <c r="G64" s="43" t="s">
        <v>556</v>
      </c>
    </row>
    <row r="65" spans="1:7" ht="15" customHeight="1" x14ac:dyDescent="0.2">
      <c r="A65" s="44" t="s">
        <v>204</v>
      </c>
      <c r="B65" s="45">
        <v>4758635</v>
      </c>
      <c r="C65" s="45">
        <v>469203</v>
      </c>
      <c r="D65" s="45">
        <v>0</v>
      </c>
      <c r="E65" s="45">
        <v>0</v>
      </c>
      <c r="F65" s="45">
        <v>469203</v>
      </c>
      <c r="G65" s="46">
        <v>0</v>
      </c>
    </row>
    <row r="66" spans="1:7" ht="15" customHeight="1" x14ac:dyDescent="0.2">
      <c r="A66" s="101" t="s">
        <v>205</v>
      </c>
      <c r="B66" s="101"/>
      <c r="C66" s="101"/>
      <c r="D66" s="101"/>
      <c r="E66" s="101"/>
      <c r="F66" s="101"/>
      <c r="G66" s="101"/>
    </row>
    <row r="67" spans="1:7" ht="30" customHeight="1" x14ac:dyDescent="0.2">
      <c r="A67" s="103" t="s">
        <v>245</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242</v>
      </c>
      <c r="B1" s="16"/>
      <c r="C1" s="16"/>
      <c r="D1" s="16"/>
      <c r="E1" s="16"/>
      <c r="F1" s="16"/>
      <c r="G1" s="15" t="s">
        <v>246</v>
      </c>
    </row>
    <row r="2" spans="1:7" x14ac:dyDescent="0.2">
      <c r="A2" s="17" t="s">
        <v>356</v>
      </c>
      <c r="B2" s="18"/>
      <c r="C2" s="18"/>
      <c r="D2" s="18"/>
      <c r="E2" s="18"/>
      <c r="F2" s="18"/>
      <c r="G2" s="18"/>
    </row>
    <row r="3" spans="1:7" x14ac:dyDescent="0.2">
      <c r="A3" s="18" t="s">
        <v>136</v>
      </c>
      <c r="B3" s="18"/>
      <c r="C3" s="18"/>
      <c r="D3" s="18"/>
      <c r="E3" s="18"/>
      <c r="F3" s="18"/>
      <c r="G3" s="18"/>
    </row>
    <row r="4" spans="1:7" x14ac:dyDescent="0.2">
      <c r="A4" s="104" t="s">
        <v>137</v>
      </c>
      <c r="B4" s="104" t="s">
        <v>138</v>
      </c>
      <c r="C4" s="37" t="s">
        <v>139</v>
      </c>
      <c r="D4" s="37"/>
      <c r="E4" s="37"/>
      <c r="F4" s="104" t="s">
        <v>140</v>
      </c>
      <c r="G4" s="104" t="s">
        <v>141</v>
      </c>
    </row>
    <row r="5" spans="1:7" ht="25.5" customHeight="1" x14ac:dyDescent="0.2">
      <c r="A5" s="104"/>
      <c r="B5" s="104"/>
      <c r="C5" s="38" t="s">
        <v>142</v>
      </c>
      <c r="D5" s="38" t="s">
        <v>143</v>
      </c>
      <c r="E5" s="38" t="s">
        <v>144</v>
      </c>
      <c r="F5" s="104"/>
      <c r="G5" s="104"/>
    </row>
    <row r="6" spans="1:7" x14ac:dyDescent="0.2">
      <c r="A6" s="42" t="s">
        <v>145</v>
      </c>
      <c r="B6" s="20">
        <v>81838</v>
      </c>
      <c r="C6" s="20">
        <v>106</v>
      </c>
      <c r="D6" s="20" t="s">
        <v>556</v>
      </c>
      <c r="E6" s="20">
        <v>0</v>
      </c>
      <c r="F6" s="20">
        <v>106</v>
      </c>
      <c r="G6" s="43" t="s">
        <v>556</v>
      </c>
    </row>
    <row r="7" spans="1:7" x14ac:dyDescent="0.2">
      <c r="A7" s="42" t="s">
        <v>146</v>
      </c>
      <c r="B7" s="20">
        <v>3045</v>
      </c>
      <c r="C7" s="20">
        <v>4</v>
      </c>
      <c r="D7" s="20" t="s">
        <v>556</v>
      </c>
      <c r="E7" s="20">
        <v>0</v>
      </c>
      <c r="F7" s="20">
        <v>4</v>
      </c>
      <c r="G7" s="43" t="s">
        <v>556</v>
      </c>
    </row>
    <row r="8" spans="1:7" x14ac:dyDescent="0.2">
      <c r="A8" s="42" t="s">
        <v>147</v>
      </c>
      <c r="B8" s="20">
        <v>10390</v>
      </c>
      <c r="C8" s="20">
        <v>13</v>
      </c>
      <c r="D8" s="20" t="s">
        <v>556</v>
      </c>
      <c r="E8" s="20">
        <v>0</v>
      </c>
      <c r="F8" s="20">
        <v>13</v>
      </c>
      <c r="G8" s="43" t="s">
        <v>556</v>
      </c>
    </row>
    <row r="9" spans="1:7" x14ac:dyDescent="0.2">
      <c r="A9" s="42" t="s">
        <v>148</v>
      </c>
      <c r="B9" s="20">
        <v>24985</v>
      </c>
      <c r="C9" s="20">
        <v>32</v>
      </c>
      <c r="D9" s="20" t="s">
        <v>556</v>
      </c>
      <c r="E9" s="20">
        <v>0</v>
      </c>
      <c r="F9" s="20">
        <v>32</v>
      </c>
      <c r="G9" s="43" t="s">
        <v>556</v>
      </c>
    </row>
    <row r="10" spans="1:7" x14ac:dyDescent="0.2">
      <c r="A10" s="42" t="s">
        <v>149</v>
      </c>
      <c r="B10" s="20">
        <v>85448</v>
      </c>
      <c r="C10" s="20">
        <v>110</v>
      </c>
      <c r="D10" s="20" t="s">
        <v>556</v>
      </c>
      <c r="E10" s="20">
        <v>0</v>
      </c>
      <c r="F10" s="20">
        <v>110</v>
      </c>
      <c r="G10" s="43" t="s">
        <v>556</v>
      </c>
    </row>
    <row r="11" spans="1:7" x14ac:dyDescent="0.2">
      <c r="A11" s="42" t="s">
        <v>150</v>
      </c>
      <c r="B11" s="20">
        <v>18116</v>
      </c>
      <c r="C11" s="20">
        <v>23</v>
      </c>
      <c r="D11" s="20" t="s">
        <v>556</v>
      </c>
      <c r="E11" s="20">
        <v>0</v>
      </c>
      <c r="F11" s="20">
        <v>23</v>
      </c>
      <c r="G11" s="43" t="s">
        <v>556</v>
      </c>
    </row>
    <row r="12" spans="1:7" x14ac:dyDescent="0.2">
      <c r="A12" s="42" t="s">
        <v>151</v>
      </c>
      <c r="B12" s="20">
        <v>36472</v>
      </c>
      <c r="C12" s="20">
        <v>47</v>
      </c>
      <c r="D12" s="20" t="s">
        <v>556</v>
      </c>
      <c r="E12" s="20">
        <v>0</v>
      </c>
      <c r="F12" s="20">
        <v>47</v>
      </c>
      <c r="G12" s="43" t="s">
        <v>556</v>
      </c>
    </row>
    <row r="13" spans="1:7" x14ac:dyDescent="0.2">
      <c r="A13" s="42" t="s">
        <v>152</v>
      </c>
      <c r="B13" s="20">
        <v>6113</v>
      </c>
      <c r="C13" s="20">
        <v>8</v>
      </c>
      <c r="D13" s="20" t="s">
        <v>556</v>
      </c>
      <c r="E13" s="20">
        <v>0</v>
      </c>
      <c r="F13" s="20">
        <v>8</v>
      </c>
      <c r="G13" s="43" t="s">
        <v>556</v>
      </c>
    </row>
    <row r="14" spans="1:7" x14ac:dyDescent="0.2">
      <c r="A14" s="42" t="s">
        <v>153</v>
      </c>
      <c r="B14" s="20">
        <v>20036</v>
      </c>
      <c r="C14" s="20">
        <v>26</v>
      </c>
      <c r="D14" s="20" t="s">
        <v>556</v>
      </c>
      <c r="E14" s="20">
        <v>0</v>
      </c>
      <c r="F14" s="20">
        <v>26</v>
      </c>
      <c r="G14" s="43" t="s">
        <v>556</v>
      </c>
    </row>
    <row r="15" spans="1:7" x14ac:dyDescent="0.2">
      <c r="A15" s="42" t="s">
        <v>154</v>
      </c>
      <c r="B15" s="20">
        <v>67339</v>
      </c>
      <c r="C15" s="20">
        <v>87</v>
      </c>
      <c r="D15" s="20" t="s">
        <v>556</v>
      </c>
      <c r="E15" s="20">
        <v>0</v>
      </c>
      <c r="F15" s="20">
        <v>87</v>
      </c>
      <c r="G15" s="43" t="s">
        <v>556</v>
      </c>
    </row>
    <row r="16" spans="1:7" x14ac:dyDescent="0.2">
      <c r="A16" s="42" t="s">
        <v>155</v>
      </c>
      <c r="B16" s="20">
        <v>81872</v>
      </c>
      <c r="C16" s="20">
        <v>106</v>
      </c>
      <c r="D16" s="20" t="s">
        <v>556</v>
      </c>
      <c r="E16" s="20">
        <v>0</v>
      </c>
      <c r="F16" s="20">
        <v>106</v>
      </c>
      <c r="G16" s="43" t="s">
        <v>556</v>
      </c>
    </row>
    <row r="17" spans="1:7" x14ac:dyDescent="0.2">
      <c r="A17" s="42" t="s">
        <v>156</v>
      </c>
      <c r="B17" s="20">
        <v>13876</v>
      </c>
      <c r="C17" s="20">
        <v>18</v>
      </c>
      <c r="D17" s="20" t="s">
        <v>556</v>
      </c>
      <c r="E17" s="20">
        <v>0</v>
      </c>
      <c r="F17" s="20">
        <v>18</v>
      </c>
      <c r="G17" s="43" t="s">
        <v>556</v>
      </c>
    </row>
    <row r="18" spans="1:7" x14ac:dyDescent="0.2">
      <c r="A18" s="42" t="s">
        <v>157</v>
      </c>
      <c r="B18" s="20">
        <v>1463</v>
      </c>
      <c r="C18" s="20">
        <v>2</v>
      </c>
      <c r="D18" s="20" t="s">
        <v>556</v>
      </c>
      <c r="E18" s="20">
        <v>0</v>
      </c>
      <c r="F18" s="20">
        <v>2</v>
      </c>
      <c r="G18" s="43" t="s">
        <v>556</v>
      </c>
    </row>
    <row r="19" spans="1:7" x14ac:dyDescent="0.2">
      <c r="A19" s="42" t="s">
        <v>158</v>
      </c>
      <c r="B19" s="20">
        <v>133827</v>
      </c>
      <c r="C19" s="20">
        <v>173</v>
      </c>
      <c r="D19" s="20" t="s">
        <v>556</v>
      </c>
      <c r="E19" s="20">
        <v>0</v>
      </c>
      <c r="F19" s="20">
        <v>173</v>
      </c>
      <c r="G19" s="43" t="s">
        <v>556</v>
      </c>
    </row>
    <row r="20" spans="1:7" x14ac:dyDescent="0.2">
      <c r="A20" s="42" t="s">
        <v>159</v>
      </c>
      <c r="B20" s="20">
        <v>34712</v>
      </c>
      <c r="C20" s="20">
        <v>45</v>
      </c>
      <c r="D20" s="20" t="s">
        <v>556</v>
      </c>
      <c r="E20" s="20">
        <v>0</v>
      </c>
      <c r="F20" s="20">
        <v>45</v>
      </c>
      <c r="G20" s="43" t="s">
        <v>556</v>
      </c>
    </row>
    <row r="21" spans="1:7" x14ac:dyDescent="0.2">
      <c r="A21" s="42" t="s">
        <v>160</v>
      </c>
      <c r="B21" s="20">
        <v>7834</v>
      </c>
      <c r="C21" s="20">
        <v>10</v>
      </c>
      <c r="D21" s="20" t="s">
        <v>556</v>
      </c>
      <c r="E21" s="20">
        <v>0</v>
      </c>
      <c r="F21" s="20">
        <v>10</v>
      </c>
      <c r="G21" s="43" t="s">
        <v>556</v>
      </c>
    </row>
    <row r="22" spans="1:7" x14ac:dyDescent="0.2">
      <c r="A22" s="42" t="s">
        <v>161</v>
      </c>
      <c r="B22" s="20">
        <v>19213</v>
      </c>
      <c r="C22" s="20">
        <v>25</v>
      </c>
      <c r="D22" s="20" t="s">
        <v>556</v>
      </c>
      <c r="E22" s="20">
        <v>0</v>
      </c>
      <c r="F22" s="20">
        <v>25</v>
      </c>
      <c r="G22" s="43" t="s">
        <v>556</v>
      </c>
    </row>
    <row r="23" spans="1:7" x14ac:dyDescent="0.2">
      <c r="A23" s="42" t="s">
        <v>162</v>
      </c>
      <c r="B23" s="20">
        <v>53818</v>
      </c>
      <c r="C23" s="20">
        <v>69</v>
      </c>
      <c r="D23" s="20" t="s">
        <v>556</v>
      </c>
      <c r="E23" s="20">
        <v>0</v>
      </c>
      <c r="F23" s="20">
        <v>69</v>
      </c>
      <c r="G23" s="43" t="s">
        <v>556</v>
      </c>
    </row>
    <row r="24" spans="1:7" x14ac:dyDescent="0.2">
      <c r="A24" s="42" t="s">
        <v>163</v>
      </c>
      <c r="B24" s="20">
        <v>47891</v>
      </c>
      <c r="C24" s="20">
        <v>62</v>
      </c>
      <c r="D24" s="20" t="s">
        <v>556</v>
      </c>
      <c r="E24" s="20">
        <v>0</v>
      </c>
      <c r="F24" s="20">
        <v>62</v>
      </c>
      <c r="G24" s="43" t="s">
        <v>556</v>
      </c>
    </row>
    <row r="25" spans="1:7" x14ac:dyDescent="0.2">
      <c r="A25" s="42" t="s">
        <v>164</v>
      </c>
      <c r="B25" s="20">
        <v>10107</v>
      </c>
      <c r="C25" s="20">
        <v>13</v>
      </c>
      <c r="D25" s="20" t="s">
        <v>556</v>
      </c>
      <c r="E25" s="20">
        <v>0</v>
      </c>
      <c r="F25" s="20">
        <v>13</v>
      </c>
      <c r="G25" s="43" t="s">
        <v>556</v>
      </c>
    </row>
    <row r="26" spans="1:7" x14ac:dyDescent="0.2">
      <c r="A26" s="42" t="s">
        <v>165</v>
      </c>
      <c r="B26" s="20">
        <v>31559</v>
      </c>
      <c r="C26" s="20">
        <v>41</v>
      </c>
      <c r="D26" s="20" t="s">
        <v>556</v>
      </c>
      <c r="E26" s="20">
        <v>0</v>
      </c>
      <c r="F26" s="20">
        <v>41</v>
      </c>
      <c r="G26" s="43" t="s">
        <v>556</v>
      </c>
    </row>
    <row r="27" spans="1:7" x14ac:dyDescent="0.2">
      <c r="A27" s="42" t="s">
        <v>166</v>
      </c>
      <c r="B27" s="20">
        <v>92496</v>
      </c>
      <c r="C27" s="20">
        <v>119</v>
      </c>
      <c r="D27" s="20" t="s">
        <v>556</v>
      </c>
      <c r="E27" s="20">
        <v>0</v>
      </c>
      <c r="F27" s="20">
        <v>119</v>
      </c>
      <c r="G27" s="43" t="s">
        <v>556</v>
      </c>
    </row>
    <row r="28" spans="1:7" x14ac:dyDescent="0.2">
      <c r="A28" s="42" t="s">
        <v>167</v>
      </c>
      <c r="B28" s="20">
        <v>47474</v>
      </c>
      <c r="C28" s="20">
        <v>61</v>
      </c>
      <c r="D28" s="20" t="s">
        <v>556</v>
      </c>
      <c r="E28" s="20">
        <v>0</v>
      </c>
      <c r="F28" s="20">
        <v>61</v>
      </c>
      <c r="G28" s="43" t="s">
        <v>556</v>
      </c>
    </row>
    <row r="29" spans="1:7" x14ac:dyDescent="0.2">
      <c r="A29" s="42" t="s">
        <v>168</v>
      </c>
      <c r="B29" s="20">
        <v>38789</v>
      </c>
      <c r="C29" s="20">
        <v>50</v>
      </c>
      <c r="D29" s="20" t="s">
        <v>556</v>
      </c>
      <c r="E29" s="20">
        <v>0</v>
      </c>
      <c r="F29" s="20">
        <v>50</v>
      </c>
      <c r="G29" s="43" t="s">
        <v>556</v>
      </c>
    </row>
    <row r="30" spans="1:7" x14ac:dyDescent="0.2">
      <c r="A30" s="42" t="s">
        <v>169</v>
      </c>
      <c r="B30" s="20">
        <v>20224</v>
      </c>
      <c r="C30" s="20">
        <v>26</v>
      </c>
      <c r="D30" s="20" t="s">
        <v>556</v>
      </c>
      <c r="E30" s="20">
        <v>0</v>
      </c>
      <c r="F30" s="20">
        <v>26</v>
      </c>
      <c r="G30" s="43" t="s">
        <v>556</v>
      </c>
    </row>
    <row r="31" spans="1:7" x14ac:dyDescent="0.2">
      <c r="A31" s="42" t="s">
        <v>170</v>
      </c>
      <c r="B31" s="20">
        <v>38745</v>
      </c>
      <c r="C31" s="20">
        <v>50</v>
      </c>
      <c r="D31" s="20" t="s">
        <v>556</v>
      </c>
      <c r="E31" s="20">
        <v>0</v>
      </c>
      <c r="F31" s="20">
        <v>50</v>
      </c>
      <c r="G31" s="43" t="s">
        <v>556</v>
      </c>
    </row>
    <row r="32" spans="1:7" x14ac:dyDescent="0.2">
      <c r="A32" s="42" t="s">
        <v>171</v>
      </c>
      <c r="B32" s="20">
        <v>4045</v>
      </c>
      <c r="C32" s="20">
        <v>5</v>
      </c>
      <c r="D32" s="20" t="s">
        <v>556</v>
      </c>
      <c r="E32" s="20">
        <v>0</v>
      </c>
      <c r="F32" s="20">
        <v>5</v>
      </c>
      <c r="G32" s="43" t="s">
        <v>556</v>
      </c>
    </row>
    <row r="33" spans="1:7" x14ac:dyDescent="0.2">
      <c r="A33" s="42" t="s">
        <v>172</v>
      </c>
      <c r="B33" s="20">
        <v>14697</v>
      </c>
      <c r="C33" s="20">
        <v>19</v>
      </c>
      <c r="D33" s="20" t="s">
        <v>556</v>
      </c>
      <c r="E33" s="20">
        <v>0</v>
      </c>
      <c r="F33" s="20">
        <v>19</v>
      </c>
      <c r="G33" s="43" t="s">
        <v>556</v>
      </c>
    </row>
    <row r="34" spans="1:7" x14ac:dyDescent="0.2">
      <c r="A34" s="42" t="s">
        <v>173</v>
      </c>
      <c r="B34" s="20">
        <v>6552</v>
      </c>
      <c r="C34" s="20">
        <v>8</v>
      </c>
      <c r="D34" s="20" t="s">
        <v>556</v>
      </c>
      <c r="E34" s="20">
        <v>0</v>
      </c>
      <c r="F34" s="20">
        <v>8</v>
      </c>
      <c r="G34" s="43" t="s">
        <v>556</v>
      </c>
    </row>
    <row r="35" spans="1:7" x14ac:dyDescent="0.2">
      <c r="A35" s="42" t="s">
        <v>174</v>
      </c>
      <c r="B35" s="20">
        <v>8810</v>
      </c>
      <c r="C35" s="20">
        <v>11</v>
      </c>
      <c r="D35" s="20" t="s">
        <v>556</v>
      </c>
      <c r="E35" s="20">
        <v>0</v>
      </c>
      <c r="F35" s="20">
        <v>11</v>
      </c>
      <c r="G35" s="43" t="s">
        <v>556</v>
      </c>
    </row>
    <row r="36" spans="1:7" x14ac:dyDescent="0.2">
      <c r="A36" s="42" t="s">
        <v>175</v>
      </c>
      <c r="B36" s="20">
        <v>85146</v>
      </c>
      <c r="C36" s="20">
        <v>110</v>
      </c>
      <c r="D36" s="20" t="s">
        <v>556</v>
      </c>
      <c r="E36" s="20">
        <v>0</v>
      </c>
      <c r="F36" s="20">
        <v>110</v>
      </c>
      <c r="G36" s="43" t="s">
        <v>556</v>
      </c>
    </row>
    <row r="37" spans="1:7" x14ac:dyDescent="0.2">
      <c r="A37" s="42" t="s">
        <v>176</v>
      </c>
      <c r="B37" s="20">
        <v>9983</v>
      </c>
      <c r="C37" s="20">
        <v>13</v>
      </c>
      <c r="D37" s="20" t="s">
        <v>556</v>
      </c>
      <c r="E37" s="20">
        <v>0</v>
      </c>
      <c r="F37" s="20">
        <v>13</v>
      </c>
      <c r="G37" s="43" t="s">
        <v>556</v>
      </c>
    </row>
    <row r="38" spans="1:7" x14ac:dyDescent="0.2">
      <c r="A38" s="42" t="s">
        <v>177</v>
      </c>
      <c r="B38" s="20">
        <v>675514</v>
      </c>
      <c r="C38" s="20">
        <v>872</v>
      </c>
      <c r="D38" s="20" t="s">
        <v>556</v>
      </c>
      <c r="E38" s="20">
        <v>0</v>
      </c>
      <c r="F38" s="20">
        <v>872</v>
      </c>
      <c r="G38" s="43" t="s">
        <v>556</v>
      </c>
    </row>
    <row r="39" spans="1:7" x14ac:dyDescent="0.2">
      <c r="A39" s="42" t="s">
        <v>178</v>
      </c>
      <c r="B39" s="20">
        <v>68579</v>
      </c>
      <c r="C39" s="20">
        <v>89</v>
      </c>
      <c r="D39" s="20" t="s">
        <v>556</v>
      </c>
      <c r="E39" s="20">
        <v>0</v>
      </c>
      <c r="F39" s="20">
        <v>89</v>
      </c>
      <c r="G39" s="43" t="s">
        <v>556</v>
      </c>
    </row>
    <row r="40" spans="1:7" x14ac:dyDescent="0.2">
      <c r="A40" s="42" t="s">
        <v>179</v>
      </c>
      <c r="B40" s="20">
        <v>3584</v>
      </c>
      <c r="C40" s="20">
        <v>5</v>
      </c>
      <c r="D40" s="20" t="s">
        <v>556</v>
      </c>
      <c r="E40" s="20">
        <v>0</v>
      </c>
      <c r="F40" s="20">
        <v>5</v>
      </c>
      <c r="G40" s="43" t="s">
        <v>556</v>
      </c>
    </row>
    <row r="41" spans="1:7" x14ac:dyDescent="0.2">
      <c r="A41" s="42" t="s">
        <v>180</v>
      </c>
      <c r="B41" s="20">
        <v>104437</v>
      </c>
      <c r="C41" s="20">
        <v>135</v>
      </c>
      <c r="D41" s="20" t="s">
        <v>556</v>
      </c>
      <c r="E41" s="20">
        <v>0</v>
      </c>
      <c r="F41" s="20">
        <v>135</v>
      </c>
      <c r="G41" s="43" t="s">
        <v>556</v>
      </c>
    </row>
    <row r="42" spans="1:7" x14ac:dyDescent="0.2">
      <c r="A42" s="42" t="s">
        <v>181</v>
      </c>
      <c r="B42" s="20">
        <v>25431</v>
      </c>
      <c r="C42" s="20">
        <v>33</v>
      </c>
      <c r="D42" s="20" t="s">
        <v>556</v>
      </c>
      <c r="E42" s="20">
        <v>0</v>
      </c>
      <c r="F42" s="20">
        <v>33</v>
      </c>
      <c r="G42" s="43" t="s">
        <v>556</v>
      </c>
    </row>
    <row r="43" spans="1:7" x14ac:dyDescent="0.2">
      <c r="A43" s="42" t="s">
        <v>182</v>
      </c>
      <c r="B43" s="20">
        <v>8958</v>
      </c>
      <c r="C43" s="20">
        <v>12</v>
      </c>
      <c r="D43" s="20" t="s">
        <v>556</v>
      </c>
      <c r="E43" s="20">
        <v>0</v>
      </c>
      <c r="F43" s="20">
        <v>12</v>
      </c>
      <c r="G43" s="43" t="s">
        <v>556</v>
      </c>
    </row>
    <row r="44" spans="1:7" x14ac:dyDescent="0.2">
      <c r="A44" s="42" t="s">
        <v>183</v>
      </c>
      <c r="B44" s="20">
        <v>164708</v>
      </c>
      <c r="C44" s="20">
        <v>213</v>
      </c>
      <c r="D44" s="20" t="s">
        <v>556</v>
      </c>
      <c r="E44" s="20">
        <v>0</v>
      </c>
      <c r="F44" s="20">
        <v>213</v>
      </c>
      <c r="G44" s="43" t="s">
        <v>556</v>
      </c>
    </row>
    <row r="45" spans="1:7" x14ac:dyDescent="0.2">
      <c r="A45" s="42" t="s">
        <v>184</v>
      </c>
      <c r="B45" s="20">
        <v>22964</v>
      </c>
      <c r="C45" s="20">
        <v>30</v>
      </c>
      <c r="D45" s="20" t="s">
        <v>556</v>
      </c>
      <c r="E45" s="20">
        <v>0</v>
      </c>
      <c r="F45" s="20">
        <v>30</v>
      </c>
      <c r="G45" s="43" t="s">
        <v>556</v>
      </c>
    </row>
    <row r="46" spans="1:7" x14ac:dyDescent="0.2">
      <c r="A46" s="42" t="s">
        <v>185</v>
      </c>
      <c r="B46" s="20">
        <v>34976</v>
      </c>
      <c r="C46" s="20">
        <v>45</v>
      </c>
      <c r="D46" s="20" t="s">
        <v>556</v>
      </c>
      <c r="E46" s="20">
        <v>0</v>
      </c>
      <c r="F46" s="20">
        <v>45</v>
      </c>
      <c r="G46" s="43" t="s">
        <v>556</v>
      </c>
    </row>
    <row r="47" spans="1:7" x14ac:dyDescent="0.2">
      <c r="A47" s="42" t="s">
        <v>186</v>
      </c>
      <c r="B47" s="20">
        <v>3005</v>
      </c>
      <c r="C47" s="20">
        <v>4</v>
      </c>
      <c r="D47" s="20" t="s">
        <v>556</v>
      </c>
      <c r="E47" s="20">
        <v>0</v>
      </c>
      <c r="F47" s="20">
        <v>4</v>
      </c>
      <c r="G47" s="43" t="s">
        <v>556</v>
      </c>
    </row>
    <row r="48" spans="1:7" x14ac:dyDescent="0.2">
      <c r="A48" s="42" t="s">
        <v>187</v>
      </c>
      <c r="B48" s="20">
        <v>55785</v>
      </c>
      <c r="C48" s="20">
        <v>72</v>
      </c>
      <c r="D48" s="20" t="s">
        <v>556</v>
      </c>
      <c r="E48" s="20">
        <v>0</v>
      </c>
      <c r="F48" s="20">
        <v>72</v>
      </c>
      <c r="G48" s="43" t="s">
        <v>556</v>
      </c>
    </row>
    <row r="49" spans="1:7" x14ac:dyDescent="0.2">
      <c r="A49" s="42" t="s">
        <v>188</v>
      </c>
      <c r="B49" s="20">
        <v>96547</v>
      </c>
      <c r="C49" s="20">
        <v>124</v>
      </c>
      <c r="D49" s="20" t="s">
        <v>556</v>
      </c>
      <c r="E49" s="20">
        <v>0</v>
      </c>
      <c r="F49" s="20">
        <v>124</v>
      </c>
      <c r="G49" s="43" t="s">
        <v>556</v>
      </c>
    </row>
    <row r="50" spans="1:7" x14ac:dyDescent="0.2">
      <c r="A50" s="42" t="s">
        <v>189</v>
      </c>
      <c r="B50" s="20">
        <v>3709</v>
      </c>
      <c r="C50" s="20">
        <v>5</v>
      </c>
      <c r="D50" s="20" t="s">
        <v>556</v>
      </c>
      <c r="E50" s="20">
        <v>0</v>
      </c>
      <c r="F50" s="20">
        <v>5</v>
      </c>
      <c r="G50" s="43" t="s">
        <v>556</v>
      </c>
    </row>
    <row r="51" spans="1:7" x14ac:dyDescent="0.2">
      <c r="A51" s="42" t="s">
        <v>190</v>
      </c>
      <c r="B51" s="20">
        <v>1105</v>
      </c>
      <c r="C51" s="20">
        <v>1</v>
      </c>
      <c r="D51" s="20" t="s">
        <v>556</v>
      </c>
      <c r="E51" s="20">
        <v>0</v>
      </c>
      <c r="F51" s="20">
        <v>1</v>
      </c>
      <c r="G51" s="43" t="s">
        <v>556</v>
      </c>
    </row>
    <row r="52" spans="1:7" x14ac:dyDescent="0.2">
      <c r="A52" s="42" t="s">
        <v>191</v>
      </c>
      <c r="B52" s="20">
        <v>46372</v>
      </c>
      <c r="C52" s="20">
        <v>59</v>
      </c>
      <c r="D52" s="20" t="s">
        <v>556</v>
      </c>
      <c r="E52" s="20">
        <v>0</v>
      </c>
      <c r="F52" s="20">
        <v>59</v>
      </c>
      <c r="G52" s="43" t="s">
        <v>556</v>
      </c>
    </row>
    <row r="53" spans="1:7" x14ac:dyDescent="0.2">
      <c r="A53" s="42" t="s">
        <v>192</v>
      </c>
      <c r="B53" s="20">
        <v>30808</v>
      </c>
      <c r="C53" s="20">
        <v>40</v>
      </c>
      <c r="D53" s="20" t="s">
        <v>556</v>
      </c>
      <c r="E53" s="20">
        <v>0</v>
      </c>
      <c r="F53" s="20">
        <v>40</v>
      </c>
      <c r="G53" s="43" t="s">
        <v>556</v>
      </c>
    </row>
    <row r="54" spans="1:7" x14ac:dyDescent="0.2">
      <c r="A54" s="42" t="s">
        <v>193</v>
      </c>
      <c r="B54" s="20">
        <v>14875</v>
      </c>
      <c r="C54" s="20">
        <v>20</v>
      </c>
      <c r="D54" s="20" t="s">
        <v>556</v>
      </c>
      <c r="E54" s="20">
        <v>0</v>
      </c>
      <c r="F54" s="20">
        <v>20</v>
      </c>
      <c r="G54" s="43" t="s">
        <v>556</v>
      </c>
    </row>
    <row r="55" spans="1:7" x14ac:dyDescent="0.2">
      <c r="A55" s="42" t="s">
        <v>194</v>
      </c>
      <c r="B55" s="20">
        <v>25339</v>
      </c>
      <c r="C55" s="20">
        <v>33</v>
      </c>
      <c r="D55" s="20" t="s">
        <v>556</v>
      </c>
      <c r="E55" s="20">
        <v>0</v>
      </c>
      <c r="F55" s="20">
        <v>33</v>
      </c>
      <c r="G55" s="43" t="s">
        <v>556</v>
      </c>
    </row>
    <row r="56" spans="1:7" x14ac:dyDescent="0.2">
      <c r="A56" s="42" t="s">
        <v>195</v>
      </c>
      <c r="B56" s="20">
        <v>1613</v>
      </c>
      <c r="C56" s="20">
        <v>2</v>
      </c>
      <c r="D56" s="20" t="s">
        <v>556</v>
      </c>
      <c r="E56" s="20">
        <v>0</v>
      </c>
      <c r="F56" s="20">
        <v>2</v>
      </c>
      <c r="G56" s="43" t="s">
        <v>556</v>
      </c>
    </row>
    <row r="57" spans="1:7" x14ac:dyDescent="0.2">
      <c r="A57" s="42" t="s">
        <v>196</v>
      </c>
      <c r="B57" s="20">
        <v>0</v>
      </c>
      <c r="C57" s="20">
        <v>0</v>
      </c>
      <c r="D57" s="20" t="s">
        <v>556</v>
      </c>
      <c r="E57" s="20">
        <v>0</v>
      </c>
      <c r="F57" s="20">
        <v>0</v>
      </c>
      <c r="G57" s="43" t="s">
        <v>556</v>
      </c>
    </row>
    <row r="58" spans="1:7" x14ac:dyDescent="0.2">
      <c r="A58" s="42" t="s">
        <v>197</v>
      </c>
      <c r="B58" s="20">
        <v>2603</v>
      </c>
      <c r="C58" s="20">
        <v>3</v>
      </c>
      <c r="D58" s="20" t="s">
        <v>556</v>
      </c>
      <c r="E58" s="20">
        <v>0</v>
      </c>
      <c r="F58" s="20">
        <v>3</v>
      </c>
      <c r="G58" s="43" t="s">
        <v>556</v>
      </c>
    </row>
    <row r="59" spans="1:7" x14ac:dyDescent="0.2">
      <c r="A59" s="42" t="s">
        <v>198</v>
      </c>
      <c r="B59" s="20">
        <v>0</v>
      </c>
      <c r="C59" s="20">
        <v>0</v>
      </c>
      <c r="D59" s="20" t="s">
        <v>556</v>
      </c>
      <c r="E59" s="20">
        <v>0</v>
      </c>
      <c r="F59" s="20">
        <v>0</v>
      </c>
      <c r="G59" s="43" t="s">
        <v>556</v>
      </c>
    </row>
    <row r="60" spans="1:7" x14ac:dyDescent="0.2">
      <c r="A60" s="42" t="s">
        <v>199</v>
      </c>
      <c r="B60" s="20">
        <v>155871</v>
      </c>
      <c r="C60" s="20">
        <v>201</v>
      </c>
      <c r="D60" s="20" t="s">
        <v>556</v>
      </c>
      <c r="E60" s="20">
        <v>0</v>
      </c>
      <c r="F60" s="20">
        <v>201</v>
      </c>
      <c r="G60" s="43" t="s">
        <v>556</v>
      </c>
    </row>
    <row r="61" spans="1:7" x14ac:dyDescent="0.2">
      <c r="A61" s="42" t="s">
        <v>200</v>
      </c>
      <c r="B61" s="20">
        <v>0</v>
      </c>
      <c r="C61" s="20">
        <v>0</v>
      </c>
      <c r="D61" s="20" t="s">
        <v>556</v>
      </c>
      <c r="E61" s="20">
        <v>0</v>
      </c>
      <c r="F61" s="20">
        <v>0</v>
      </c>
      <c r="G61" s="43" t="s">
        <v>556</v>
      </c>
    </row>
    <row r="62" spans="1:7" x14ac:dyDescent="0.2">
      <c r="A62" s="42" t="s">
        <v>201</v>
      </c>
      <c r="B62" s="20">
        <v>10396</v>
      </c>
      <c r="C62" s="20">
        <v>14</v>
      </c>
      <c r="D62" s="20" t="s">
        <v>556</v>
      </c>
      <c r="E62" s="20">
        <v>0</v>
      </c>
      <c r="F62" s="20">
        <v>14</v>
      </c>
      <c r="G62" s="43" t="s">
        <v>556</v>
      </c>
    </row>
    <row r="63" spans="1:7" x14ac:dyDescent="0.2">
      <c r="A63" s="42" t="s">
        <v>202</v>
      </c>
      <c r="B63" s="20">
        <v>0</v>
      </c>
      <c r="C63" s="20">
        <v>0</v>
      </c>
      <c r="D63" s="20" t="s">
        <v>556</v>
      </c>
      <c r="E63" s="20">
        <v>0</v>
      </c>
      <c r="F63" s="20">
        <v>0</v>
      </c>
      <c r="G63" s="43" t="s">
        <v>556</v>
      </c>
    </row>
    <row r="64" spans="1:7" x14ac:dyDescent="0.2">
      <c r="A64" s="42" t="s">
        <v>203</v>
      </c>
      <c r="B64" s="20">
        <v>0</v>
      </c>
      <c r="C64" s="20">
        <v>5991</v>
      </c>
      <c r="D64" s="20" t="s">
        <v>556</v>
      </c>
      <c r="E64" s="20">
        <v>0</v>
      </c>
      <c r="F64" s="20">
        <v>5991</v>
      </c>
      <c r="G64" s="43" t="s">
        <v>556</v>
      </c>
    </row>
    <row r="65" spans="1:7" ht="15" customHeight="1" x14ac:dyDescent="0.2">
      <c r="A65" s="44" t="s">
        <v>204</v>
      </c>
      <c r="B65" s="39">
        <v>2714094</v>
      </c>
      <c r="C65" s="39">
        <v>9495</v>
      </c>
      <c r="D65" s="39">
        <v>0</v>
      </c>
      <c r="E65" s="39">
        <v>0</v>
      </c>
      <c r="F65" s="39">
        <v>9495</v>
      </c>
      <c r="G65" s="40">
        <v>0</v>
      </c>
    </row>
    <row r="66" spans="1:7" ht="15" customHeight="1" x14ac:dyDescent="0.2">
      <c r="A66" s="105" t="s">
        <v>205</v>
      </c>
      <c r="B66" s="101"/>
      <c r="C66" s="101"/>
      <c r="D66" s="101"/>
      <c r="E66" s="101"/>
      <c r="F66" s="101"/>
      <c r="G66" s="101"/>
    </row>
    <row r="67" spans="1:7" ht="30.75" customHeight="1" x14ac:dyDescent="0.2">
      <c r="A67" s="103" t="s">
        <v>245</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3"/>
  <sheetViews>
    <sheetView zoomScaleNormal="100" workbookViewId="0">
      <selection sqref="A1:I1"/>
    </sheetView>
  </sheetViews>
  <sheetFormatPr defaultRowHeight="12.75" x14ac:dyDescent="0.2"/>
  <cols>
    <col min="1" max="1" width="24.42578125" customWidth="1"/>
    <col min="2" max="2" width="14.5703125" customWidth="1"/>
    <col min="3" max="3" width="10.28515625" customWidth="1"/>
    <col min="4" max="4" width="10.5703125" customWidth="1"/>
    <col min="5" max="5" width="10.42578125" customWidth="1"/>
    <col min="6" max="6" width="10.140625" customWidth="1"/>
    <col min="7" max="7" width="10.85546875" customWidth="1"/>
    <col min="8" max="8" width="12.7109375" customWidth="1"/>
    <col min="9" max="9" width="11.42578125" customWidth="1"/>
  </cols>
  <sheetData>
    <row r="1" spans="1:9" x14ac:dyDescent="0.2">
      <c r="A1" s="87" t="s">
        <v>674</v>
      </c>
      <c r="B1" s="87"/>
      <c r="C1" s="87"/>
      <c r="D1" s="87"/>
      <c r="E1" s="87"/>
      <c r="F1" s="87"/>
      <c r="G1" s="87"/>
      <c r="H1" s="87"/>
      <c r="I1" s="87"/>
    </row>
    <row r="2" spans="1:9" x14ac:dyDescent="0.2">
      <c r="A2" s="88" t="s">
        <v>295</v>
      </c>
      <c r="B2" s="88"/>
      <c r="C2" s="88"/>
      <c r="D2" s="88"/>
      <c r="E2" s="88"/>
      <c r="F2" s="88"/>
      <c r="G2" s="88"/>
      <c r="H2" s="88"/>
      <c r="I2" s="88"/>
    </row>
    <row r="3" spans="1:9" x14ac:dyDescent="0.2">
      <c r="A3" s="89" t="s">
        <v>137</v>
      </c>
      <c r="B3" s="89" t="s">
        <v>671</v>
      </c>
      <c r="C3" s="92" t="s">
        <v>659</v>
      </c>
      <c r="D3" s="93"/>
      <c r="E3" s="93"/>
      <c r="F3" s="93"/>
      <c r="G3" s="94"/>
      <c r="H3" s="89" t="s">
        <v>660</v>
      </c>
      <c r="I3" s="89" t="s">
        <v>667</v>
      </c>
    </row>
    <row r="4" spans="1:9" x14ac:dyDescent="0.2">
      <c r="A4" s="90"/>
      <c r="B4" s="90"/>
      <c r="C4" s="92" t="s">
        <v>139</v>
      </c>
      <c r="D4" s="93"/>
      <c r="E4" s="93"/>
      <c r="F4" s="94"/>
      <c r="G4" s="89" t="s">
        <v>666</v>
      </c>
      <c r="H4" s="90"/>
      <c r="I4" s="90"/>
    </row>
    <row r="5" spans="1:9" ht="25.5" x14ac:dyDescent="0.2">
      <c r="A5" s="91"/>
      <c r="B5" s="91"/>
      <c r="C5" s="56" t="s">
        <v>670</v>
      </c>
      <c r="D5" s="56" t="s">
        <v>669</v>
      </c>
      <c r="E5" s="56" t="s">
        <v>668</v>
      </c>
      <c r="F5" s="56" t="s">
        <v>204</v>
      </c>
      <c r="G5" s="91"/>
      <c r="H5" s="91"/>
      <c r="I5" s="91"/>
    </row>
    <row r="6" spans="1:9" x14ac:dyDescent="0.2">
      <c r="A6" s="57" t="s">
        <v>145</v>
      </c>
      <c r="B6" s="58">
        <f>(52678+134648+100838+46843+54974+68298+197338+266628+35794+216948+48852+0+426629+4809660+93007+60165+61135+103937+16442+25509+152118+42470+25364+23808+19601+16086+23091+296677+39451+0+15369+5208+244580+141249+81838+0+47018+143261+928418+116109+56953+18017+24583+61568+0+0)/1000</f>
        <v>9343.16</v>
      </c>
      <c r="C6" s="58">
        <f>(0+99977+31775+0+353+0+0+0+0+0+0+0+0+0+93007+54643+61930+106929+16442+32287+155596+45957+28495+23816+0+0+0+0+5766+0+2408+54491+4945+13927+106+0+4092+2218+38331+33322+27615+538+711+0+0+0)/1000</f>
        <v>939.67700000000002</v>
      </c>
      <c r="D6" s="58">
        <f>(61240+70598+71976+55372+82380+69023+199693+266591+36047+899465+21352+45502+357811+5296995+0+0+0+188165+0+0+0+0+0+0+0+16086+23092+10413+18082+0+13160+0+247170+0+0+222174+54688+84206+858820+36098+29917+17408+23003+61568+0+0)/1000</f>
        <v>9438.0949999999993</v>
      </c>
      <c r="E6" s="58">
        <f>(0+0+8810+1134+16389+0+37843+0+0+2020070+0+44896+0+0+10182+0+41306+732997+0+0+0+0+0+0+0+0+18691+1637+0+0+0+0+12232+0+0+0+12437+8522+0+33810+0+0+0+0+188331+0)/1000</f>
        <v>3189.2869999999998</v>
      </c>
      <c r="F6" s="58">
        <f t="shared" ref="F6:F37" si="0">SUM(C6:E6)</f>
        <v>13567.058999999999</v>
      </c>
      <c r="G6" s="58">
        <f>(61240+170575+112561+56506+99122+69023+237536+266591+36047+2919535+21352+90398+367149+5296995+103189+54643+103236+1028091+16442+32287+155596+45957+28495+23816+0+16086+41782+12049+23847+0+15568+54491+264347+13927+106+222174+71216+94946+897151+103230+57532+17946+23714+61568+141248+0)/1000</f>
        <v>13529.31</v>
      </c>
      <c r="H6" s="59">
        <f t="shared" ref="H6:H63" si="1">IF(AND(G$64&lt;&gt;0,G6&lt;&gt;0),IF(100*G6/G$64&lt;0.005,"*",100*G6/G$64),0)</f>
        <v>1.2200009197815249</v>
      </c>
      <c r="I6" s="60">
        <f>(93983+346001+116445+72245+97174+69949+237812+264059+36583+0+0+0+386824+5585779+93007+52725+63177+133954+16442+32048+157603+46228+28001+23816+0+24129+44442+0+38335+0+87127+9603+299992+0+0+235561+29841+52044+864810+9374+58098+20465+28356+61568+47083+0)/1000</f>
        <v>9864.6830000000009</v>
      </c>
    </row>
    <row r="7" spans="1:9" x14ac:dyDescent="0.2">
      <c r="A7" s="57" t="s">
        <v>146</v>
      </c>
      <c r="B7" s="58">
        <f>(7400+20955+20156+6913+14200+11173+40434+47422+10299+38408+6504+0+32126+1633529+44398+18184+11308+10383+3545+4254+19582+20542+29321+3613+1060+4001+5889+9232+4878+0+3377+1855+48078+9549+3045+0+28051+398321+718938+147153+72181+9607+11011+105991+0+0)/1000</f>
        <v>3636.866</v>
      </c>
      <c r="C7" s="58">
        <f>(0+15559+6351+0+91+0+0+0+0+0+0+0+0+0+44397+16515+11343+10740+3545+5493+20732+22229+32942+3593+0+0+0+0+1821+35856+737+7304+969+942+4+0+2868+5069+68719+42231+34999+288+330+0+0+0)/1000</f>
        <v>395.66699999999997</v>
      </c>
      <c r="D7" s="58">
        <f>(8603+10987+14387+8172+20763+11383+41003+47741+10421+159719+2824+5368+25024+1750911+0+0+0+18900+0+0+0+0+0+0+0+4001+5890+7733+2103+0+2802+0+48415+0+0+15020+38711+278084+569089+45750+37916+9318+10671+105991+0+0)/1000</f>
        <v>3317.7</v>
      </c>
      <c r="E7" s="58">
        <f>(0+0+1215+167+2656+0+8600+0+0+358707+0+5882+0+0+3363+0+14390+73624+0+0+0+0+0+0+0+0+4767+882+0+0+0+0+2396+0+0+0+5936+24251+0+19944+0+0+0+0+324217+0)/1000</f>
        <v>850.99699999999996</v>
      </c>
      <c r="F7" s="58">
        <f t="shared" si="0"/>
        <v>4564.3639999999996</v>
      </c>
      <c r="G7" s="58">
        <f>(8603+26546+21953+8339+23510+11383+49603+47741+10421+518426+2824+11250+25677+1750911+47760+16515+25733+103264+3545+5493+20732+22229+32942+3593+0+4001+10657+8614+3925+35856+3540+7304+51780+942+4+15020+47515+307404+637808+107924+72915+9606+11001+105991+243162+0)/1000</f>
        <v>4483.9620000000004</v>
      </c>
      <c r="H7" s="59">
        <f t="shared" si="1"/>
        <v>0.40433974565335606</v>
      </c>
      <c r="I7" s="60">
        <f>(13202+53848+23276+10662+24649+11518+49670+47741+10515+0+0+0+27053+1816723+44397+15936+11668+13455+3545+5571+21000+22360+32371+3593+0+6001+13155+0+4459+2288+12462+1287+58761+0+0+15925+25840+211580+587577+5530+73632+10954+13154+105991+81054+0)/1000</f>
        <v>3492.4029999999998</v>
      </c>
    </row>
    <row r="8" spans="1:9" x14ac:dyDescent="0.2">
      <c r="A8" s="57" t="s">
        <v>147</v>
      </c>
      <c r="B8" s="58">
        <f>(81388+201564+110967+47827+72090+78878+225998+345804+41740+277423+69196+0+266358+11631515+199407+57465+27515+140817+19827+38503+171240+169657+180865+34266+18813+31606+40429+79139+20105+0+9793+5199+212069+20346+10390+0+48254+322628+766066+451501+221467+16785+24901+67057+0+0)/1000</f>
        <v>16856.858</v>
      </c>
      <c r="C8" s="58">
        <f>(0+149662+34967+0+463+0+0+0+0+0+0+0+0+0+199407+52191+29108+141294+19827+48463+176477+183585+203197+34944+0+0+0+0+47053+0+17441+88790+4283+2006+13+0+6490+8634+59448+129574+107385+325+594+0+0+0)/1000</f>
        <v>1745.6210000000001</v>
      </c>
      <c r="D8" s="58">
        <f>(94617+105682+79206+56535+106986+81382+232369+352562+44995+1149716+30903+54414+242559+13991456+0+0+0+248639+0+0+0+0+0+0+0+31606+40592+17261+23020+0+17070+0+214044+0+0+32003+185979+142590+813967+140371+116334+10515+19190+67057+0+0)/1000</f>
        <v>18743.62</v>
      </c>
      <c r="E8" s="58">
        <f>(0+0+10067+1157+19386+0+45663+0+0+2582099+0+54445+0+0+14546+0+23569+968573+0+0+0+0+0+0+0+0+32725+2087+0+0+0+0+10592+0+0+0+81699+49190+0+263166+0+0+0+0+205121+0)/1000</f>
        <v>4364.085</v>
      </c>
      <c r="F8" s="58">
        <f t="shared" si="0"/>
        <v>24853.325999999997</v>
      </c>
      <c r="G8" s="58">
        <f>(94617+255344+124240+57692+126835+81382+278032+352562+44995+3731815+30903+108859+248889+13991456+213953+52191+52677+1358506+19827+48463+176477+183585+203197+34944+0+31606+73317+19348+70073+0+34510+88790+228919+2006+13+32003+274167+200414+873415+533111+223719+10840+19784+67057+153841+0)/1000</f>
        <v>24808.374</v>
      </c>
      <c r="H8" s="59">
        <f t="shared" si="1"/>
        <v>2.2370866731772772</v>
      </c>
      <c r="I8" s="60">
        <f>(145204+517954+128142+73763+126401+83617+281255+352611+47726+0+0+0+262860+13777053+199407+50359+30147+177004+19827+48384+178753+184668+199674+34944+0+47410+84907+0+48805+0+112287+15648+259787+0+0+33932+33176+75430+815800+72963+225920+12362+23657+67057+51280+0)/1000</f>
        <v>18900.173999999999</v>
      </c>
    </row>
    <row r="9" spans="1:9" x14ac:dyDescent="0.2">
      <c r="A9" s="57" t="s">
        <v>148</v>
      </c>
      <c r="B9" s="58">
        <f>(57115+125011+62000+41047+38993+47031+121548+166871+22039+128759+30664+0+177209+5632255+56546+35749+33115+66344+5300+15871+105242+39738+33636+14673+7869+10761+13525+13278+26539+0+12215+14923+127398+33025+24985+0+24533+112741+669817+148016+72604+10563+16629+31132+0+0)/1000</f>
        <v>8427.3089999999993</v>
      </c>
      <c r="C9" s="58">
        <f>(0+92821+19537+0+250+0+0+0+0+0+0+0+0+0+56546+32468+33279+67774+5300+20783+107228+43000+37789+14685+0+0+0+0+1566+8940+48+20883+2600+3256+32+0+2839+2007+17039+42478+35204+315+497+0+0+0)/1000</f>
        <v>669.16399999999999</v>
      </c>
      <c r="D9" s="58">
        <f>(66399+65545+44254+48521+58297+41114+122998+163087+22210+558017+13378+22872+203470+6172784+0+0+0+119265+0+0+0+0+0+0+0+10761+13526+9203+10775+0+8848+0+129955+0+0+51946+45881+55452+577124+46018+38138+10184+16054+31132+0+0)/1000</f>
        <v>8777.2080000000005</v>
      </c>
      <c r="E9" s="58">
        <f>(0+0+4007+993+9545+0+26549+0+0+1253228+0+22903+0+0+4715+0+30164+464595+0+0+0+0+0+0+0+0+10948+1296+0+0+0+0+6431+0+0+0+13678+6236+0+14828+0+0+0+0+95230+0)/1000</f>
        <v>1965.346</v>
      </c>
      <c r="F9" s="58">
        <f t="shared" si="0"/>
        <v>11411.718000000001</v>
      </c>
      <c r="G9" s="58">
        <f>(66399+158366+67798+49514+68092+41114+149547+163087+22210+1811245+13378+45775+208780+6172784+61261+32468+63443+651634+5300+20783+107228+43000+37789+14685+0+10761+24474+10499+12341+8940+8896+20883+138986+3256+32+51946+62398+63695+594163+103324+73342+10499+16551+31132+71422+0)/1000</f>
        <v>11393.22</v>
      </c>
      <c r="H9" s="59">
        <f t="shared" si="1"/>
        <v>1.0273797318025284</v>
      </c>
      <c r="I9" s="60">
        <f>(101899+321238+71596+63307+68983+41977+149720+160664+22619+0+0+0+219969+5979369+56546+31328+34034+84904+5300+20788+108611+43254+37133+14685+0+16142+25737+0+22844+0+58791+3680+157728+0+0+55076+19501+36797+584446+4111+74064+11973+19790+31132+23807+0)/1000</f>
        <v>8783.5429999999997</v>
      </c>
    </row>
    <row r="10" spans="1:9" x14ac:dyDescent="0.2">
      <c r="A10" s="57" t="s">
        <v>149</v>
      </c>
      <c r="B10" s="58">
        <f>(529174+1221140+921833+398776+1040432+330346+1327802+1997325+238042+1647306+355227+0+3208988+65532557+3634299+828827+205361+560532+85593+211967+1294859+1319459+692663+193091+146344+105865+254429+361798+324115+126277+185757+137137+4859718+113129+85448+0+538916+1407978+4324868+4403596+2160026+120363+141083+278371+0+0)/1000</f>
        <v>107850.817</v>
      </c>
      <c r="C10" s="58">
        <f>(0+906704+290480+0+6681+0+0+0+0+0+0+0+0+0+3634316+752760+199142+547996+85593+264300+1333334+1427786+778189+192744+0+0+0+0+153318+1017399+60798+431638+98451+11155+110+0+133374+40543+410345+1263763+1047354+3444+2911+0+0+0)/1000</f>
        <v>15094.628000000001</v>
      </c>
      <c r="D10" s="58">
        <f>(615188+640259+657987+471385+1488853+296870+1343641+2031881+234933+6709634+153966+187476+3252669+77408160+0+0+0+964324+0+0+0+0+0+0+0+105865+254439+222411+159470+0+136882+0+4920466+0+0+177944+1074602+514838+4040506+1369077+1134634+111341+94136+278371+0+0)/1000</f>
        <v>111052.208</v>
      </c>
      <c r="E10" s="58">
        <f>(0+0+74405+9651+124339+0+256352+0+0+15068885+0+181312+0+0+203819+0+203611+3756522+0+0+0+0+0+0+0+0+205947+7842+0+0+0+0+243499+0+0+0+336900+224957+0+3919484+0+0+0+0+851511+0)/1000</f>
        <v>25669.036</v>
      </c>
      <c r="F10" s="58">
        <f t="shared" si="0"/>
        <v>151815.872</v>
      </c>
      <c r="G10" s="58">
        <f>(615188+1546963+1022872+481036+1619873+296870+1599994+2031881+234933+21778519+153966+368788+3337555+77408160+3838135+752760+402753+5268842+85593+264300+1333334+1427786+778189+192744+0+105865+460386+230253+312788+1017399+197679+431638+5262416+11155+110+177944+1544876+780338+4450851+6552324+2181988+114785+97047+278371+638633+0)/1000</f>
        <v>151687.88</v>
      </c>
      <c r="H10" s="59">
        <f t="shared" si="1"/>
        <v>13.678402898574248</v>
      </c>
      <c r="I10" s="60">
        <f>(944099+3137932+1064508+615030+1774448+290988+1601847+2038992+235364+0+0+0+3516417+75536260+3634316+726335+200312+686496+85593+266236+1350529+1436207+764699+192744+0+158797+461098+0+338097+64907+899948+76070+5972003+0+0+188665+421820+249915+4327165+1086682+2203449+130898+116041+278371+212878+0)/1000</f>
        <v>117286.156</v>
      </c>
    </row>
    <row r="11" spans="1:9" x14ac:dyDescent="0.2">
      <c r="A11" s="57" t="s">
        <v>150</v>
      </c>
      <c r="B11" s="58">
        <f>(25514+75423+66953+22899+64111+47719+176600+153690+24562+120994+44005+0+315358+6171402+135608+61942+61674+67936+10174+29613+116158+90632+19883+27384+13730+20843+28916+27770+32543+0+15678+18500+372544+31139+18116+0+55973+437524+656662+253148+124173+12840+21755+21795+0+0)/1000</f>
        <v>10093.883</v>
      </c>
      <c r="C11" s="58">
        <f>(0+56002+21098+0+412+0+0+0+0+0+0+0+0+0+135608+56257+60861+67791+10174+37139+120281+98073+22338+27752+0+0+0+0+6210+0+2943+37374+7546+3070+23+0+5141+12747+35475+72650+60209+385+652+0+0+0)/1000</f>
        <v>958.21100000000001</v>
      </c>
      <c r="D11" s="58">
        <f>(29661+39545+47790+27068+92905+48969+178700+161224+24961+519324+19432+28434+272500+6746401+0+0+0+119294+0+0+0+0+0+0+0+20843+28918+14879+15128+0+13708+0+377125+0+0+48980+145169+149306+605111+78704+65226+12453+21083+21795+0+0)/1000</f>
        <v>9974.6360000000004</v>
      </c>
      <c r="E11" s="58">
        <f>(0+0+6325+554+13972+0+38572+0+0+1166329+0+28710+0+0+13503+0+71759+464710+0+0+0+0+0+0+0+0+23406+1796+0+0+0+0+18663+0+0+0+52428+65835+0+374629+0+0+0+0+66669+0)/1000</f>
        <v>2407.86</v>
      </c>
      <c r="F11" s="58">
        <f t="shared" si="0"/>
        <v>13340.707</v>
      </c>
      <c r="G11" s="58">
        <f>(29661+95547+75213+27622+107289+48969+217271+161224+24961+1685653+19432+57144+279612+6746401+149111+56257+132620+651795+10174+37139+120281+98073+22338+27752+0+20843+52324+16676+21338+0+16651+37374+403334+3070+23+48980+202738+227887+640586+525982+125435+12838+21735+21795+50002+0)/1000</f>
        <v>13331.15</v>
      </c>
      <c r="H11" s="59">
        <f t="shared" si="1"/>
        <v>1.2021319092951137</v>
      </c>
      <c r="I11" s="60">
        <f>(45520+193813+77316+35317+110069+48751+217523+161242+25337+0+0+0+294596+6635428+135608+54283+62466+84925+10174+37206+121832+98651+21950+27752+0+31264+65040+0+32073+0+90335+6587+457720+0+0+51931+45270+66420+641174+103866+126669+14640+25990+21795+16667+0)/1000</f>
        <v>10297.200000000001</v>
      </c>
    </row>
    <row r="12" spans="1:9" x14ac:dyDescent="0.2">
      <c r="A12" s="57" t="s">
        <v>151</v>
      </c>
      <c r="B12" s="58">
        <f>(27270+79533+43059+16212+64096+26226+144548+144530+18189+111068+27882+0+107097+5511940+265908+71986+73052+37609+18738+15953+72357+79768+47504+17524+10790+14215+18213+22897+21544+0+4564+32031+494793+75504+36472+0+66540+44431+635937+177690+87159+19664+11011+15884+0+0)/1000</f>
        <v>8811.3880000000008</v>
      </c>
      <c r="C12" s="58">
        <f>(0+59054+13568+0+412+0+0+0+0+0+0+0+0+0+265908+65380+74451+40245+18738+20817+73722+86317+53369+17408+0+0+0+0+22336+0+10829+27979+10044+7445+47+0+8977+1178+67306+50994+42262+590+330+0+0+0)/1000</f>
        <v>1039.7059999999999</v>
      </c>
      <c r="D12" s="58">
        <f>(31703+41700+30735+19164+92077+22369+146277+154082+18239+492426+12449+15832+71606+5911162+0+0+0+70820+0+0+0+0+0+0+0+14215+18214+9540+16627+0+11747+0+501984+0+0+118762+83307+27599+573109+55244+45784+19072+10671+15884+0+0)/1000</f>
        <v>8652.4</v>
      </c>
      <c r="E12" s="58">
        <f>(0+0+3326+392+9545+0+27238+0+0+1105920+0+15957+0+0+7097+0+94097+275880+0+0+0+0+0+0+0+0+14743+1391+0+0+0+0+24842+0+0+0+16167+7234+0+428920+0+0+0+0+48588+0)/1000</f>
        <v>2081.337</v>
      </c>
      <c r="F12" s="58">
        <f t="shared" si="0"/>
        <v>11773.442999999999</v>
      </c>
      <c r="G12" s="58">
        <f>(31703+100754+47629+19556+102034+22369+173516+154082+18239+1598346+12449+31789+73475+5911162+273005+65380+168548+386945+18738+20817+73722+86317+53369+17408+0+14215+32957+10931+38962+0+22576+27979+536870+7445+47+118762+108451+36011+640415+535158+88045+19662+11001+15884+36441+0)/1000</f>
        <v>11763.164000000001</v>
      </c>
      <c r="H12" s="59">
        <f t="shared" si="1"/>
        <v>1.0607393059617174</v>
      </c>
      <c r="I12" s="60">
        <f>(48652+204374+49723+25004+109542+22521+173717+155075+17855+0+0+0+77412+5676856+265908+63085+76833+50416+18738+20895+74673+86826+52444+17408+0+21323+37316+0+35251+0+77745+4931+609262+0+0+125918+50112+17093+576800+118919+88911+22422+13154+15884+12147+0)/1000</f>
        <v>9115.1450000000004</v>
      </c>
    </row>
    <row r="13" spans="1:9" x14ac:dyDescent="0.2">
      <c r="A13" s="57" t="s">
        <v>152</v>
      </c>
      <c r="B13" s="58">
        <f>(9487+24039+14466+13952+14459+13713+39413+54530+10299+43493+7917+0+40021+1692893+32184+24992+13371+15613+5179+4773+21301+2419+3426+4698+4626+36792+6968+11128+7427+0+4561+7603+49656+13163+6113+0+11877+9519+227629+72074+35353+7880+11186+1205+0+0)/1000</f>
        <v>2631.3980000000001</v>
      </c>
      <c r="C13" s="58">
        <f>(0+17849+4558+0+93+0+0+0+0+0+0+0+0+0+32184+22698+13874+15814+5179+6030+21703+2618+3849+4713+0+0+0+0+1024+0+17+2646+1020+1298+8+0+1602+30+21491+20684+17142+236+330+0+0+0)/1000</f>
        <v>218.69</v>
      </c>
      <c r="D13" s="58">
        <f>(11029+12604+10326+16492+21394+11383+39981+54066+10421+182885+3459+4966+36412+1795251+0+0+0+27828+0+0+0+0+0+0+0+36792+6968+7896+3037+0+3433+0+50963+0+0+20704+18601+7010+196380+22408+18571+7643+10671+1205+0+0)/1000</f>
        <v>2650.779</v>
      </c>
      <c r="E13" s="58">
        <f>(0+0+1263+338+2758+0+8513+0+0+410734+0+3889+0+0+2076+0+12884+108405+0+0+0+0+0+0+0+0+5640+928+0+0+0+0+2522+0+0+0+4887+60+0+95265+0+0+0+0+3686+0)/1000</f>
        <v>663.84799999999996</v>
      </c>
      <c r="F13" s="58">
        <f t="shared" si="0"/>
        <v>3533.317</v>
      </c>
      <c r="G13" s="58">
        <f>(11029+30453+16147+16830+24245+11383+48493+54066+10421+593619+3459+8855+37363+1795251+34260+22698+26758+152047+5179+6030+21703+2618+3849+4713+0+36792+12609+8824+4060+0+3450+2646+54505+1298+8+20704+25091+7101+217871+138357+35713+7879+11001+1205+2764+0)/1000</f>
        <v>3533.3470000000002</v>
      </c>
      <c r="H13" s="59">
        <f t="shared" si="1"/>
        <v>0.31861836190517412</v>
      </c>
      <c r="I13" s="60">
        <f>(16926+61772+16705+21518+25395+11518+48647+53909+10515+0+0+0+39365+1831154+32184+21901+14290+19811+5179+5996+21983+2633+3782+4713+0+55188+13155+0+6438+0+16934+466+61854+0+0+21952+8975+5811+197479+26412+36064+8985+13154+1205+921+0)/1000</f>
        <v>2744.8890000000001</v>
      </c>
    </row>
    <row r="14" spans="1:9" x14ac:dyDescent="0.2">
      <c r="A14" s="57" t="s">
        <v>153</v>
      </c>
      <c r="B14" s="58">
        <f>(6690+16595+16478+5946+31146+15362+21059+50469+10299+42006+5808+0+52802+2574185+92304+27753+11442+9601+4567+3312+38392+32969+9804+3389+17331+23821+6968+71489+15189+0+5244+11529+261347+63399+20036+0+14338+453+186317+698681+342713+7880+11011+7363+0+0)/1000</f>
        <v>4847.4870000000001</v>
      </c>
      <c r="C14" s="58">
        <f>(0+12322+5192+0+200+0+0+0+0+0+0+0+0+0+92304+25205+11478+9439+4567+4224+39117+35676+11014+3423+0+0+0+0+16702+0+5606+5158+5302+6251+26+0+1323+1+25392+200511+166175+236+330+0+0+0)/1000</f>
        <v>687.17399999999998</v>
      </c>
      <c r="D14" s="58">
        <f>(7777+8701+11762+7029+44422+15612+21654+48862+10421+172013+2416+5313+59561+2942412+0+0+0+16610+0+0+0+0+0+0+0+23821+6968+60149+6203+0+4167+0+265007+0+0+99723+19520+293092+180647+217220+180023+7643+10671+7363+0+0)/1000</f>
        <v>4756.7820000000002</v>
      </c>
      <c r="E14" s="58">
        <f>(0+0+1037+144+4143+0+4255+0+0+386317+0+4534+0+0+14740+0+14561+64703+0+0+0+0+0+0+0+0+5640+878+0+0+0+0+13114+0+0+0+5179+37+0+182459+0+0+0+0+22523+0)/1000</f>
        <v>724.26400000000001</v>
      </c>
      <c r="F14" s="58">
        <f t="shared" si="0"/>
        <v>6168.22</v>
      </c>
      <c r="G14" s="58">
        <f>(7777+21023+17991+7173+48765+15612+25909+48862+10421+558330+2416+9847+61115+2942412+107044+25205+26039+90752+4567+4224+39117+35676+11014+3423+0+23821+12609+61027+22905+0+9772+5158+283423+6251+26+99723+26022+331+206039+600190+346198+7879+11001+7363+16892+0)/1000</f>
        <v>5871.3440000000001</v>
      </c>
      <c r="H14" s="59">
        <f t="shared" si="1"/>
        <v>0.52944644481896985</v>
      </c>
      <c r="I14" s="60">
        <f>(11936+42644+19028+9170+52897+15837+26331+48971+10515+0+0+0+65170+2219389+92304+24321+11806+11824+4567+4167+39621+35887+10823+3423+0+35732+13155+0+13151+0+26401+909+321641+0+0+105731+9403+245+180558+50587+349603+8985+13154+7363+5631+0)/1000</f>
        <v>3902.88</v>
      </c>
    </row>
    <row r="15" spans="1:9" x14ac:dyDescent="0.2">
      <c r="A15" s="57" t="s">
        <v>154</v>
      </c>
      <c r="B15" s="58">
        <f>(179198+538751+374122+227836+107168+187340+702252+920950+110918+770248+173586+0+842520+17206639+560484+202081+98021+357788+43026+99166+432493+200938+138149+102485+126929+100170+111385+142999+127061+38638+49758+134904+1157918+133564+67339+0+120907+1147668+2271207+810474+397549+71873+152670+83180+0+0)/1000</f>
        <v>31822.351999999999</v>
      </c>
      <c r="C15" s="58">
        <f>(0+400026+117890+0+688+0+0+0+0+0+0+0+0+0+560484+183534+99760+360828+43026+125397+446361+217435+155207+103782+0+0+0+5357+125177+1369038+56568+85310+23453+13169+87+0+18232+33860+93106+232593+192764+1625+1299+0+0+0)/1000</f>
        <v>5066.0559999999996</v>
      </c>
      <c r="D15" s="58">
        <f>(208326+282474+267041+269320+177796+215470+710614+904994+113721+3133879+75799+212978+760962+19447215+0+0+0+634961+0+0+0+0+0+0+0+100170+111390+48614+63022+0+51572+0+1172146+0+0+210087+124023+420158+2100808+251976+208827+52550+42005+83180+0+0)/1000</f>
        <v>32456.078000000001</v>
      </c>
      <c r="E15" s="58">
        <f>(0+0+32436+5514+130570+0+153384+0+0+7038246+0+221189+0+0+35508+0+80777+2473487+0+0+0+0+0+0+0+0+90161+4665+0+0+0+0+58006+0+0+0+17082+181023+0+855135+0+0+0+0+254440+0)/1000</f>
        <v>11631.623</v>
      </c>
      <c r="F15" s="58">
        <f t="shared" si="0"/>
        <v>49153.756999999998</v>
      </c>
      <c r="G15" s="58">
        <f>(208326+682500+417367+274834+309054+215470+863998+904994+113721+10172125+75799+434167+780821+19447215+595992+183534+180537+3469276+43026+125397+446361+217435+155207+103782+0+100170+201551+53279+188199+1369038+108140+85310+1253605+13169+87+210087+159337+635041+2193914+1339704+401591+54175+43304+83180+190830+0)/1000</f>
        <v>49104.648999999998</v>
      </c>
      <c r="H15" s="59">
        <f t="shared" si="1"/>
        <v>4.4279949935029155</v>
      </c>
      <c r="I15" s="60">
        <f>(319707+1384414+432026+351390+199651+217444+864999+906888+117867+0+0+0+827136+18309258+560484+177092+103319+452024+43026+124633+452117+218718+152516+103782+0+150256+211450+0+133615+46926+339373+15035+1422642+0+0+222746+86653+197332+2102772+237087+405541+61780+51780+83180+63610+0)/1000</f>
        <v>32150.269</v>
      </c>
    </row>
    <row r="16" spans="1:9" x14ac:dyDescent="0.2">
      <c r="A16" s="57" t="s">
        <v>155</v>
      </c>
      <c r="B16" s="58">
        <f>(177785+418400+184332+99090+98863+100000+381031+557817+67441+457170+105721+0+469255+8479989+329650+99942+77500+231276+36548+58387+251070+93085+62446+50936+73169+29276+57155+46713+72520+0+32625+16016+588284+120218+81872+0+148524+508813+1361002+536441+263132+29795+59547+52945+0+0)/1000</f>
        <v>16965.780999999999</v>
      </c>
      <c r="C16" s="58">
        <f>(0+310665+58085+0+635+0+0+0+0+0+0+0+0+0+329650+90770+78888+229388+36548+73628+261592+100727+70156+51257+0+0+0+0+25519+81814+9823+104370+11930+11853+106+0+32668+15415+117142+153950+127588+814+778+0+0+0)/1000</f>
        <v>2385.759</v>
      </c>
      <c r="D16" s="58">
        <f>(206683+219372+131573+117132+152005+121883+385557+568878+71603+1892093+47074+79175+407974+8761970+0+0+0+403661+0+0+0+0+0+0+0+29276+57158+21253+34302+0+28548+0+596266+0+0+189094+118969+174469+1435058+166779+138220+26322+25146+52945+0+0)/1000</f>
        <v>16660.437999999998</v>
      </c>
      <c r="E16" s="58">
        <f>(0+0+13894+2398+53300+0+83221+0+0+4249371+0+75408+0+0+22014+0+63877+1572459+0+0+0+0+0+0+0+0+46264+2679+0+0+0+0+29507+0+0+0+25442+98925+0+338092+0+0+0+0+161954+0)/1000</f>
        <v>6838.8050000000003</v>
      </c>
      <c r="F16" s="58">
        <f t="shared" si="0"/>
        <v>25885.002</v>
      </c>
      <c r="G16" s="58">
        <f>(206683+530037+203552+119530+205940+121883+468778+568878+71603+6141464+47074+154583+418621+8761970+351664+90770+142765+2205508+36548+73628+261592+100727+70156+51257+0+29276+103422+23933+59821+81814+38372+104370+637703+11853+106+189094+177079+288809+1552200+658822+265807+27136+25924+52945+121465+0)/1000</f>
        <v>25855.162</v>
      </c>
      <c r="H16" s="59">
        <f t="shared" si="1"/>
        <v>2.3314804244340865</v>
      </c>
      <c r="I16" s="60">
        <f>(317186+1075152+212862+152826+176863+123601+469321+566094+75236+0+0+0+441073+8841822+329650+87584+81702+287363+36548+73349+264966+101321+68940+51257+0+43914+101749+0+72724+2669+188950+18394+723692+0+0+200488+67522+66145+1434459+93737+268422+30945+30998+52945+40488+0)/1000</f>
        <v>17272.956999999999</v>
      </c>
    </row>
    <row r="17" spans="1:9" x14ac:dyDescent="0.2">
      <c r="A17" s="57" t="s">
        <v>156</v>
      </c>
      <c r="B17" s="58">
        <f>(7570+30401+28492+4856+23028+12773+43220+54184+10299+43385+9993+0+66694+1642550+98578+20373+4944+19185+4972+7045+31068+17454+16199+6972+4056+4002+8583+14178+13492+0+6096+8895+164685+28627+13876+0+22711+251726+241931+105399+51700+24738+11038+8054+0+0)/1000</f>
        <v>3188.0219999999999</v>
      </c>
      <c r="C17" s="58">
        <f>(0+22573+8978+0+148+0+0+0+0+0+0+0+0+0+98578+18504+5169+18927+4972+9157+32242+18887+18199+6921+0+0+0+0+4+93017+23+13964+3314+2823+18+0+6546+5628+55050+30248+25068+373+330+0+0+0)/1000</f>
        <v>499.661</v>
      </c>
      <c r="D17" s="58">
        <f>(8800+15940+20337+5740+32929+12952+43736+56518+10421+183595+4456+9815+53872+1841904+0+0+0+33306+0+0+0+0+0+0+0+4002+8583+11965+5435+0+4536+0+165629+0+0+45029+49117+89438+188907+32769+27157+12057+10671+8054+0+0)/1000</f>
        <v>2997.67</v>
      </c>
      <c r="E17" s="58">
        <f>(0+0+2081+118+738+0+9440+0+0+412329+0+10365+0+0+4217+0+4996+129742+0+0+0+0+0+0+0+0+6947+1003+0+0+0+0+8197+0+0+0+17561+36083+0+172220+0+0+0+0+24636+0)/1000</f>
        <v>840.673</v>
      </c>
      <c r="F17" s="58">
        <f t="shared" si="0"/>
        <v>4338.0039999999999</v>
      </c>
      <c r="G17" s="58">
        <f>(8800+38513+31396+5858+33815+12952+53176+56518+10421+595924+4456+20180+55278+1841904+102795+18504+10165+181975+4972+9157+32242+18887+18199+6921+0+4002+15530+12968+5439+93017+4559+13964+177140+2823+18+45029+73224+131148+243957+235236+52225+12430+11001+8054+18477+0)/1000</f>
        <v>4333.2489999999998</v>
      </c>
      <c r="H17" s="59">
        <f t="shared" si="1"/>
        <v>0.39074925222663776</v>
      </c>
      <c r="I17" s="60">
        <f>(13506+78121+32902+7490+39458+13090+53237+57185+10515+0+0+0+58240+1764938+98578+17854+5336+23710+4972+9228+32658+18999+17884+6921+0+6002+15101+0+11522+31167+25248+2461+201026+0+0+47742+15806+39974+225086+47748+52739+14175+13154+8054+6159+0)/1000</f>
        <v>3127.9859999999999</v>
      </c>
    </row>
    <row r="18" spans="1:9" x14ac:dyDescent="0.2">
      <c r="A18" s="57" t="s">
        <v>157</v>
      </c>
      <c r="B18" s="58">
        <f>(12167+36047+24529+6912+12048+19438+62486+58907+10299+47855+15676+0+83343+1998270+30307+19494+20961+33078+2868+9998+38433+16557+10327+8385+3942+7849+8536+10534+13726+0+6026+7317+51256+1417+1463+0+19424+93016+345381+69035+33863+7880+11011+10617+0+0)/1000</f>
        <v>3280.6779999999999</v>
      </c>
      <c r="C18" s="58">
        <f>(0+26765+7729+0+77+0+0+0+0+0+0+0+0+0+30307+17705+21027+32825+2868+13194+39158+17916+11602+8547+0+0+0+0+451+0+25+10585+1020+140+2+0+2978+1442+4651+19812+16419+236+330+0+0+0)/1000</f>
        <v>287.81099999999998</v>
      </c>
      <c r="D18" s="58">
        <f>(14145+18900+17508+8171+18190+21260+63643+57361+10421+195890+6857+19582+83487+2485083+0+0+0+57764+0+0+0+0+0+0+0+7849+8537+8433+5212+0+4528+0+50963+0+0+2229+26272+48988+325139+21463+17788+7643+10671+10617+0+0)/1000</f>
        <v>3634.5940000000001</v>
      </c>
      <c r="E18" s="58">
        <f>(0+0+2425+167+5073+0+13234+0+0+439942+0+21962+0+0+3423+0+26674+225019+0+0+0+0+0+0+0+0+6910+1079+0+0+0+0+2522+0+0+0+5188+6639+0+7873+0+0+0+0+32476+0)/1000</f>
        <v>800.60599999999999</v>
      </c>
      <c r="F18" s="58">
        <f t="shared" si="0"/>
        <v>4723.0110000000004</v>
      </c>
      <c r="G18" s="58">
        <f>(14145+45665+27662+8338+23340+21260+76877+57361+10421+635832+6857+41544+85666+2485083+33730+17705+47701+315608+2868+13194+39158+17916+11602+8547+0+7849+15446+9513+5663+0+4553+10585+54505+140+2+2229+34438+57069+329790+49148+34207+7879+11001+10617+24357+0)/1000</f>
        <v>4717.0709999999999</v>
      </c>
      <c r="H18" s="59">
        <f t="shared" si="1"/>
        <v>0.42536027030755869</v>
      </c>
      <c r="I18" s="60">
        <f>(21707+92629+28325+10660+21302+21888+76966+56861+10515+0+0+0+90908+2586015+30307+17083+21628+41122+2868+13096+39663+18022+11401+8547+0+11774+16248+0+11049+0+30098+1865+61854+0+0+2363+15601+29297+324979+2183+34543+8985+13154+10617+8119+0)/1000</f>
        <v>3804.2420000000002</v>
      </c>
    </row>
    <row r="19" spans="1:9" x14ac:dyDescent="0.2">
      <c r="A19" s="57" t="s">
        <v>158</v>
      </c>
      <c r="B19" s="58">
        <f>(90927+270727+197848+108038+146234+117478+549779+668211+78181+569467+108498+0+414755+14669396+583126+127335+173955+189483+56874+66464+398825+137886+85318+62523+46691+36780+67649+139695+130077+0+36521+68614+1141579+265580+133827+0+190359+614288+1658289+1380389+677100+72597+41542+94441+0+0)/1000</f>
        <v>26667.346000000001</v>
      </c>
      <c r="C19" s="58">
        <f>(0+201016+62344+0+939+0+0+0+0+0+0+0+0+0+583126+115648+172626+188639+56874+82727+414048+149206+95853+62082+0+0+0+0+66311+0+29474+116483+23147+26186+173+0+24614+16983+139929+396150+328313+2178+1245+0+0+0)/1000</f>
        <v>3356.3139999999999</v>
      </c>
      <c r="D19" s="58">
        <f>(105707+141946+141220+127710+212946+118812+556359+681068+76827+2250805+47904+84490+522361+14935572+0+0+0+331954+0+0+0+0+0+0+0+36780+67652+93140+67082+0+41780+0+1156857+0+0+417740+210909+242947+1593431+429163+355672+70409+40260+94441+0+0)/1000</f>
        <v>25253.944</v>
      </c>
      <c r="E19" s="58">
        <f>(0+0+11732+2615+2849+0+103599+0+0+5054988+0+83246+0+0+20440+0+252789+1293125+0+0+0+0+0+0+0+0+54759+3017+0+0+0+0+57249+0+0+0+32906+97022+0+1496582+0+0+0+0+288886+0)/1000</f>
        <v>8855.8040000000001</v>
      </c>
      <c r="F19" s="58">
        <f t="shared" si="0"/>
        <v>37466.061999999998</v>
      </c>
      <c r="G19" s="58">
        <f>(105707+342962+215296+130325+216734+118812+659957+681068+76827+7305793+47904+167736+535993+14935572+603566+115648+425415+1813718+56874+82727+414048+149206+95853+62082+0+36780+122411+96158+133393+0+71254+116483+1237253+26186+173+417740+268429+356953+1733360+2321895+683985+72587+41505+94441+216665+0)/1000</f>
        <v>37407.474000000002</v>
      </c>
      <c r="H19" s="59">
        <f t="shared" si="1"/>
        <v>3.3732062231335878</v>
      </c>
      <c r="I19" s="60">
        <f>(162223+695680+228470+166627+255371+119782+660722+684258+74762+0+0+0+564717+12330693+583126+111589+177249+236316+56874+83459+419388+150086+94191+62082+0+55170+106653+0+142223+0+275030+20528+1404085+0+0+442911+139584+129963+1592667+414929+690712+82776+49629+94441+72222+0)/1000</f>
        <v>23631.187999999998</v>
      </c>
    </row>
    <row r="20" spans="1:9" x14ac:dyDescent="0.2">
      <c r="A20" s="57" t="s">
        <v>159</v>
      </c>
      <c r="B20" s="58">
        <f>(60734+190901+105498+47518+60963+62543+281079+263699+38410+214473+61591+0+276216+11024610+206117+90678+78051+126122+26182+36626+155382+97041+69826+32560+23076+28822+32248+34555+65943+0+25657+55390+269408+43772+34712+0+62005+195377+1169934+83652+41033+38685+16830+42030+0+0)/1000</f>
        <v>15869.949000000001</v>
      </c>
      <c r="C20" s="58">
        <f>(0+141745+33244+0+391+0+0+0+0+0+0+0+0+0+206117+82356+78129+127977+26182+46309+160001+105008+78448+32607+0+0+0+0+3488+0+777+29388+5455+4316+45+0+10971+3989+77408+24007+19896+1160+504+0+0+0)/1000</f>
        <v>1299.9179999999999</v>
      </c>
      <c r="D20" s="58">
        <f>(70606+100092+75303+56170+94811+81404+284432+251841+37638+888184+26530+81656+265182+11925727+0+0+0+225205+0+0+0+0+0+0+0+28822+32249+11585+27585+0+19751+0+272651+0+0+68851+95813+88339+1059322+26007+21554+37519+16311+42030+0+0)/1000</f>
        <v>16313.17</v>
      </c>
      <c r="E20" s="58">
        <f>(0+0+11645+1150+58055+0+61394+0+0+1994734+0+78874+0+0+10709+0+114066+877286+0+0+0+0+0+0+0+0+26103+1967+0+0+0+0+13493+0+0+0+23491+14575+0+190463+0+0+0+0+128566+0)/1000</f>
        <v>3606.5709999999999</v>
      </c>
      <c r="F20" s="58">
        <f t="shared" si="0"/>
        <v>21219.659</v>
      </c>
      <c r="G20" s="58">
        <f>(70606+241837+120192+57320+153257+81404+345826+251841+37638+2882918+26530+160530+272103+11925727+216826+82356+192195+1230468+26182+46309+160001+105008+78448+32607+0+28822+58352+13552+31074+0+20528+29388+291599+4316+45+68851+130275+106903+1136730+240478+41450+38679+16815+42030+96424+0)/1000</f>
        <v>21194.44</v>
      </c>
      <c r="H20" s="59">
        <f t="shared" si="1"/>
        <v>1.9112014060032878</v>
      </c>
      <c r="I20" s="60">
        <f>(108356+490553+121826+73287+107692+83009+346226+247312+38091+0+0+0+286685+11009276+206117+79465+80247+160322+26182+46013+162065+105627+77088+32607+0+43233+66538+0+58485+0+130581+5179+330919+0+0+72999+48870+57581+1061255+52806+41858+44109+20106+42030+32141+0)/1000</f>
        <v>15996.736000000001</v>
      </c>
    </row>
    <row r="21" spans="1:9" x14ac:dyDescent="0.2">
      <c r="A21" s="57" t="s">
        <v>160</v>
      </c>
      <c r="B21" s="58">
        <f>(19316+76933+42257+24117+24361+33370+132762+102445+15954+71626+26217+0+145524+4191167+130558+51358+55316+51041+8508+17222+79969+21401+48106+15363+12059+8982+13094+15504+38985+0+11612+30085+121473+8561+7834+0+37880+118133+708447+162907+79908+21700+17378+14656+0+0)/1000</f>
        <v>6814.0889999999999</v>
      </c>
      <c r="C21" s="58">
        <f>(0+57123+13316+0+156+0+0+0+0+0+0+0+0+0+130558+46645+55376+53907+8508+21588+81478+23158+54046+15379+0+0+0+0+2358+96741+1001+14109+2447+844+10+0+4079+2216+56480+46752+38746+652+523+0+0+0)/1000</f>
        <v>828.19600000000003</v>
      </c>
      <c r="D21" s="58">
        <f>(22456+40337+30162+28508+37414+36055+134349+103039+15950+344864+11566+26271+162288+4343796+0+0+0+94863+0+0+0+0+0+0+0+8982+13095+9288+15489+0+8638+0+122311+0+0+13466+47954+70500+561822+50648+41975+21070+16904+14656+0+0)/1000</f>
        <v>6448.7160000000003</v>
      </c>
      <c r="E21" s="58">
        <f>(0+0+4725+584+14619+0+25017+0+0+774516+0+23744+0+0+6334+0+78508+369537+0+0+0+0+0+0+0+0+10599+1320+0+0+0+0+6053+0+0+0+9919+6737+0+60204+0+0+0+0+44831+0)/1000</f>
        <v>1437.2470000000001</v>
      </c>
      <c r="F21" s="58">
        <f t="shared" si="0"/>
        <v>8714.1589999999997</v>
      </c>
      <c r="G21" s="58">
        <f>(22456+97460+48203+29092+52189+36055+159366+103039+15950+1119380+11566+50015+166523+4343796+136892+46645+133884+518307+8508+21588+81478+23158+54046+15379+0+8982+23694+10608+17847+96741+9639+14109+130811+844+10+13466+61953+79453+618302+157603+80721+21722+17427+14656+33624+0)/1000</f>
        <v>8707.1869999999999</v>
      </c>
      <c r="H21" s="59">
        <f t="shared" si="1"/>
        <v>0.78516762116543526</v>
      </c>
      <c r="I21" s="60">
        <f>(34462+197693+48797+37195+43374+36949+159550+102619+15834+0+0+0+175448+3979884+130558+45007+56877+67532+8508+21637+82529+23295+53109+15379+0+13472+25139+0+32838+0+57228+2486+148450+0+0+14277+27833+50454+570340+16692+81515+24771+20839+14656+11208+0)/1000</f>
        <v>6448.4340000000002</v>
      </c>
    </row>
    <row r="22" spans="1:9" x14ac:dyDescent="0.2">
      <c r="A22" s="57" t="s">
        <v>161</v>
      </c>
      <c r="B22" s="58">
        <f>(22929+68614+40760+27094+27075+30812+115949+109281+16353+84529+26274+0+125833+2612240+101478+38109+38166+49237+9812+15968+77495+27716+25910+14227+5397+8277+11900+16104+23744+0+10074+15464+78604+25587+19213+0+25031+86743+420962+46078+22602+14489+12775+22674+0+0)/1000</f>
        <v>4571.5789999999997</v>
      </c>
      <c r="C22" s="58">
        <f>(0+50946+12844+0+174+0+0+0+0+0+0+0+0+0+101478+34611+38326+50673+9812+20798+78957+29992+29109+14186+0+0+0+0+5052+0+1577+18572+1581+2523+25+0+5256+1606+55114+13224+10959+435+383+0+0+0)/1000</f>
        <v>588.21299999999997</v>
      </c>
      <c r="D22" s="58">
        <f>(26656+35975+29094+32027+40222+31309+117332+111521+16479+369830+11677+26667+142679+3003559+0+0+0+89171+0+0+0+0+0+0+0+8277+11901+9129+10711+0+8003+0+78992+0+0+40246+83112+48024+423273+14325+11872+14052+12380+22674+0+0)/1000</f>
        <v>4881.1689999999999</v>
      </c>
      <c r="E22" s="58">
        <f>(0+0+3629+656+6742+0+25326+0+0+830585+0+25070+0+0+5142+0+38821+347364+0+0+0+0+0+0+0+0+9633+1275+0+0+0+0+3909+0+0+0+29618+4313+0+43363+0+0+0+0+69358+0)/1000</f>
        <v>1444.8040000000001</v>
      </c>
      <c r="F22" s="58">
        <f t="shared" si="0"/>
        <v>6914.1859999999997</v>
      </c>
      <c r="G22" s="58">
        <f>(26656+86921+45567+32683+47138+31309+142658+111521+16479+1200415+11677+51737+146403+3003559+106620+34611+77147+487208+9812+20798+78957+29992+29109+14186+0+8277+21533+10403+15764+0+9580+18572+84482+2523+25+40246+117986+53943+478387+70912+22831+14487+12763+22674+52018+0)/1000</f>
        <v>6900.5690000000004</v>
      </c>
      <c r="H22" s="59">
        <f t="shared" si="1"/>
        <v>0.62225645853453559</v>
      </c>
      <c r="I22" s="60">
        <f>(40908+176316+47069+41787+47579+32053+142823+111535+16406+0+0+0+154249+2973292+101478+33396+39258+63480+9812+20914+79975+30169+28605+14186+0+12416+23646+0+22709+0+52929+3273+95874+0+0+42671+26622+31486+425530+12022+23056+16520+15261+22674+17339+0)/1000</f>
        <v>5049.3180000000002</v>
      </c>
    </row>
    <row r="23" spans="1:9" x14ac:dyDescent="0.2">
      <c r="A23" s="57" t="s">
        <v>162</v>
      </c>
      <c r="B23" s="58">
        <f>(62993+147609+87612+34808+77809+60868+171686+272208+32704+193187+43799+0+230237+9807104+180689+68211+56593+108392+16702+22747+182322+53865+76905+21754+12412+35483+20379+21140+13087+0+3389+43047+243700+67612+53818+0+43136+208822+826044+133084+65280+20429+18144+25824+0+0)/1000</f>
        <v>13865.634</v>
      </c>
      <c r="C23" s="58">
        <f>(0+109601+27608+0+500+0+0+0+0+0+0+0+0+0+180689+61951+56692+111360+16702+29800+185764+58287+86401+21773+0+0+0+0+32382+0+15812+13817+4945+6667+69+0+4662+3333+63952+38193+31653+613+544+0+0+0)/1000</f>
        <v>1163.77</v>
      </c>
      <c r="D23" s="58">
        <f>(73232+77393+62536+41146+113008+61776+173734+264778+32213+928275+19330+40818+246966+12928414+0+0+0+195963+0+0+0+0+0+0+0+35483+20380+10128+18085+0+14415+0+247170+0+0+106348+57214+98109+750735+41376+34291+19814+17583+25824+0+0)/1000</f>
        <v>16756.537</v>
      </c>
      <c r="E23" s="58">
        <f>(0+0+7747+842+4336+0+37500+0+0+2084773+0+42666+0+0+17411+0+61571+763372+0+0+0+0+0+0+0+0+16496+1557+0+0+0+0+12232+0+0+0+12811+22495+0+88369+0+0+0+0+78993+0)/1000</f>
        <v>3253.1709999999998</v>
      </c>
      <c r="F23" s="58">
        <f t="shared" si="0"/>
        <v>21173.477999999999</v>
      </c>
      <c r="G23" s="58">
        <f>(73232+186994+97891+41988+117844+61776+211234+264778+32213+3013048+19330+83484+253411+12928414+198100+61951+118263+1070695+16702+29800+185764+58287+86401+21773+0+35483+36876+11685+50466+0+30226+13817+264347+6667+69+106348+74687+123938+814687+167938+65943+20427+18127+25824+59245+0)/1000</f>
        <v>21160.172999999999</v>
      </c>
      <c r="H23" s="59">
        <f t="shared" si="1"/>
        <v>1.9081113909531369</v>
      </c>
      <c r="I23" s="60">
        <f>(112386+379307+101172+53684+135225+63408+211479+262691+31989+0+0+0+266991+12983506+180689+59777+58118+139504+16702+29794+188159+58631+84903+21773+0+53225+38264+0+38342+0+95574+2435+299992+0+0+112756+31399+60147+785245+24500+66592+23294+21675+25824+19748+0)/1000</f>
        <v>17138.900000000001</v>
      </c>
    </row>
    <row r="24" spans="1:9" x14ac:dyDescent="0.2">
      <c r="A24" s="57" t="s">
        <v>163</v>
      </c>
      <c r="B24" s="58">
        <f>(61245+159999+104600+94869+92897+30428+204811+344704+44341+286980+50277+0+394207+9838417+163431+76347+55813+108136+13865+26073+205978+45673+26000+22878+23567+17262+25028+43967+45059+1213917+17503+44999+413652+63530+47891+0+57144+219679+803647+135040+66239+17647+16480+37296+0+0)/1000</f>
        <v>15761.516</v>
      </c>
      <c r="C24" s="58">
        <f>(0+118800+32961+0+597+0+0+0+0+0+0+0+0+0+163431+69340+55089+112699+13865+32659+211575+49423+29211+22706+0+0+0+0+20970+0+5872+26714+8361+6264+62+0+14010+3634+142829+38754+32118+529+494+0+0+0)/1000</f>
        <v>1212.9670000000001</v>
      </c>
      <c r="D24" s="58">
        <f>(71200+83889+74662+112143+136070+61823+207255+363506+45278+1160119+22985+55566+383695+12675277+0+0+0+198320+0+0+0+0+0+0+0+17262+25029+10236+20564+0+14281+0+417896+0+0+99929+84892+103197+789821+41984+34794+17114+15971+37296+0+0)/1000</f>
        <v>17382.054</v>
      </c>
      <c r="E24" s="58">
        <f>(0+0+6502+2296+14800+0+41128+0+0+2605463+0+55674+0+0+7906+0+41415+772554+0+0+0+0+0+0+0+0+20259+1587+0+0+0+0+20680+0+0+0+24820+17842+0+99873+0+0+0+0+114085+0)/1000</f>
        <v>3846.884</v>
      </c>
      <c r="F24" s="58">
        <f t="shared" si="0"/>
        <v>22441.904999999999</v>
      </c>
      <c r="G24" s="58">
        <f>(71200+202689+114125+114439+151467+61823+248383+363506+45278+3765582+22985+111240+393708+12675277+171337+69340+96504+1083573+13865+32659+211575+49423+29211+22706+0+17262+45288+11823+41534+0+20152+26714+446937+6264+62+99929+123721+124673+932650+180612+66912+17643+16465+37296+85564+0)/1000</f>
        <v>22423.396000000001</v>
      </c>
      <c r="H24" s="59">
        <f t="shared" si="1"/>
        <v>2.0220220945950214</v>
      </c>
      <c r="I24" s="60">
        <f>(109267+411145+120789+146316+161805+63396+248671+363402+44519+0+0+0+414807+11783290+163431+66906+56126+141182+13865+32745+214303+49714+28704+22706+0+25894+40867+0+43598+0+94410+4708+507203+0+0+105950+36500+64193+800678+27690+67570+20120+19688+37296+28521+0)/1000</f>
        <v>16581.974999999999</v>
      </c>
    </row>
    <row r="25" spans="1:9" x14ac:dyDescent="0.2">
      <c r="A25" s="57" t="s">
        <v>164</v>
      </c>
      <c r="B25" s="58">
        <f>(7197+18186+16079+8350+18282+16733+59501+55318+10299+43793+9274+0+39129+2374365+76984+29797+38874+17527+3019+5514+43011+31933+24045+6524+1930+6256+6968+13552+15917+0+5331+10728+105689+17048+10107+0+17956+63745+266868+80666+39568+12426+11011+10265+0+0)/1000</f>
        <v>3649.7649999999999</v>
      </c>
      <c r="C25" s="58">
        <f>(0+13503+5067+0+117+0+0+0+0+0+0+0+0+0+77863+27063+38916+17336+3019+7208+43823+34555+27014+6521+0+0+0+0+3755+0+514+9925+2141+1681+13+0+1563+851+55060+23150+19186+373+330+0+0+0)/1000</f>
        <v>420.54700000000003</v>
      </c>
      <c r="D25" s="58">
        <f>(8367+9535+11477+9870+28056+17025+60216+55699+10421+183139+4082+12751+34809+2566643+0+0+0+30506+0+0+0+0+0+0+0+6256+6968+8128+7330+0+4254+0+107022+0+0+26815+29876+43194+218962+25079+20785+12051+10671+10265+0+0)/1000</f>
        <v>3580.252</v>
      </c>
      <c r="E25" s="58">
        <f>(0+0+1312+202+20453+0+11213+0+0+411303+0+12327+0+0+3851+0+55172+118837+0+0+0+0+0+0+0+0+5640+993+0+0+0+0+5296+0+0+0+8117+4435+0+17642+0+0+0+0+31400+0)/1000</f>
        <v>708.19299999999998</v>
      </c>
      <c r="F25" s="58">
        <f t="shared" si="0"/>
        <v>4708.9920000000002</v>
      </c>
      <c r="G25" s="58">
        <f>(8367+23038+17856+10072+48626+17025+71429+55699+10421+594442+4082+25078+35718+2566643+81714+27063+94088+166679+3019+7208+43823+34555+27014+6521+0+6256+12609+9122+11085+0+4769+9925+114459+1681+13+26815+39557+48480+274022+65871+39970+12424+11001+10265+23550+0)/1000</f>
        <v>4702.0540000000001</v>
      </c>
      <c r="H25" s="59">
        <f t="shared" si="1"/>
        <v>0.42400611744888678</v>
      </c>
      <c r="I25" s="60">
        <f>(12840+46732+18568+12879+31521+17255+71512+55204+10515+0+0+0+37632+2425355+77863+26113+39971+21717+3019+7223+44388+34759+26546+6521+0+9384+13155+0+15540+0+28216+1749+129893+0+0+28431+14593+26673+218859+4891+40363+14168+13154+10265+7850+0)/1000</f>
        <v>3605.317</v>
      </c>
    </row>
    <row r="26" spans="1:9" x14ac:dyDescent="0.2">
      <c r="A26" s="57" t="s">
        <v>165</v>
      </c>
      <c r="B26" s="58">
        <f>(41326+105640+107050+53379+97183+48000+217406+253988+28719+207834+45658+0+334413+7843979+228342+128582+80028+73319+23301+31559+115687+76942+21734+29558+36797+50751+34082+59111+12563+0+3338+30870+703419+93789+31559+0+68553+158059+644640+545077+267368+38823+20170+44284+0+0)/1000</f>
        <v>13036.88</v>
      </c>
      <c r="C26" s="58">
        <f>(0+78438+33733+0+624+0+0+0+0+0+0+0+0+0+228342+116781+78976+73221+23301+39745+119162+83259+24418+29444+0+0+0+0+40976+0+14771+26315+14225+9248+41+0+6579+4159+22538+156429+129642+1165+605+0+0+0)/1000</f>
        <v>1356.1369999999999</v>
      </c>
      <c r="D26" s="58">
        <f>(48043+55388+76410+63098+139305+46881+220001+282489+29644+868771+20732+35879+278104+8298140+0+0+0+128849+0+0+0+0+0+0+0+50751+34083+18131+21144+0+13951+0+710932+0+0+147523+126308+61197+671771+169464+140445+37652+19547+44284+0+0)/1000</f>
        <v>12858.916999999999</v>
      </c>
      <c r="E26" s="58">
        <f>(0+0+9696+1292+4018+0+46841+0+0+1951137+0+39249+0+0+17756+0+73506+501932+0+0+0+0+0+0+0+0+27588+1841+0+0+0+0+35182+0+0+0+37109+24566+0+898078+0+0+0+0+135461+0)/1000</f>
        <v>3805.252</v>
      </c>
      <c r="F26" s="58">
        <f t="shared" si="0"/>
        <v>18020.306</v>
      </c>
      <c r="G26" s="58">
        <f>(48043+133826+119839+64390+143947+46881+266842+282489+29644+2819908+20732+75128+285362+8298140+246098+116781+152482+704002+23301+39745+119162+83259+24418+29444+0+50751+61671+19972+62121+0+28722+26315+760339+9248+41+147523+169996+89921+694309+1223971+270086+38817+20152+44284+101595+0)/1000</f>
        <v>17993.697</v>
      </c>
      <c r="H26" s="59">
        <f t="shared" si="1"/>
        <v>1.6225754964791304</v>
      </c>
      <c r="I26" s="60">
        <f>(73730+271460+123618+82326+166831+48664+267151+285819+29385+0+0+0+300655+7900113+228342+112681+80712+91727+23301+39646+120699+83750+23994+29444+0+76127+56665+0+44829+0+91908+4638+862863+0+0+156412+54407+30700+671486+248993+272743+44266+24096+44284+33865+0)/1000</f>
        <v>13102.33</v>
      </c>
    </row>
    <row r="27" spans="1:9" x14ac:dyDescent="0.2">
      <c r="A27" s="57" t="s">
        <v>166</v>
      </c>
      <c r="B27" s="58">
        <f>(49379+129052+78925+43270+72116+49355+308688+242991+32789+214894+50844+0+765244+11262027+457855+93749+132230+73122+44973+31487+157969+150688+39962+33502+25699+56963+39847+71607+59048+0+19964+86588+1377541+184670+92496+0+83831+250471+714859+668764+328038+54499+25549+28511+0+0)/1000</f>
        <v>18684.056</v>
      </c>
      <c r="C27" s="58">
        <f>(0+95822+24870+0+463+0+0+0+0+0+0+0+0+0+457855+85145+136500+74477+44973+39478+163508+163059+44896+33631+0+0+0+0+53380+0+15447+63613+27889+18209+119+0+9396+6636+137459+191925+159059+1635+766+0+0+0)/1000</f>
        <v>2050.21</v>
      </c>
      <c r="D27" s="58">
        <f>(57405+67664+56335+51149+106729+49402+312387+259426+32023+814890+22625+24225+662633+13035341+0+0+0+131060+0+0+0+0+0+0+0+56963+39849+30399+41640+0+25601+0+1393835+0+0+290474+146427+86859+693095+207919+172314+52856+24760+28511+0+0)/1000</f>
        <v>18974.795999999998</v>
      </c>
      <c r="E27" s="58">
        <f>(0+0+8771+1047+24664+0+58169+0+0+1830128+0+24826+0+0+27853+0+187074+510544+0+0+0+0+0+0+0+0+32254+1992+0+0+0+0+68977+0+0+0+39225+38073+0+1013887+0+0+0+0+87213+0)/1000</f>
        <v>3954.6970000000001</v>
      </c>
      <c r="F27" s="58">
        <f t="shared" si="0"/>
        <v>24979.702999999998</v>
      </c>
      <c r="G27" s="58">
        <f>(57405+163486+89976+52196+131856+49402+370556+259426+32023+2645018+22625+49051+679926+13035341+485708+85145+323574+716081+44973+39478+163508+163059+44896+33631+0+56963+72103+32391+95020+0+41048+63613+1490701+18209+119+290474+195048+131569+830554+1413730+331374+54491+25526+28511+65409+0)/1000</f>
        <v>24975.192999999999</v>
      </c>
      <c r="H27" s="59">
        <f t="shared" si="1"/>
        <v>2.2521295196666422</v>
      </c>
      <c r="I27" s="60">
        <f>(88097+331622+91140+66736+125535+49478+370985+258411+30562+0+0+0+716364+11984663+457855+82156+141501+93301+44973+39561+165616+164021+44118+33631+0+85445+80008+0+88282+0+168488+11211+1691706+0+0+307976+69157+42487+692756+281101+334633+62140+30522+28511+21803+0)/1000</f>
        <v>19376.552</v>
      </c>
    </row>
    <row r="28" spans="1:9" x14ac:dyDescent="0.2">
      <c r="A28" s="57" t="s">
        <v>167</v>
      </c>
      <c r="B28" s="58">
        <f>(75275+199176+175060+56073+124586+122026+433847+492431+71854+389797+89433+0+289108+14491171+772794+182000+162718+161447+32082+47990+363401+116774+113856+48654+18187+36441+56056+43370+87426+0+22815+111690+440407+76148+47474+0+192001+337909+1251147+334763+164206+69034+27123+44772+0+0)/1000</f>
        <v>22372.522000000001</v>
      </c>
      <c r="C28" s="58">
        <f>(0+147889+55163+0+800+0+0+0+0+0+0+0+0+0+772794+165297+162794+166000+32082+62779+371744+126362+127915+48706+0+0+0+0+84913+0+28521+36328+8922+7508+61+0+21403+9305+173644+96072+79620+2070+810+0+0+0)/1000</f>
        <v>2789.502</v>
      </c>
      <c r="D28" s="58">
        <f>(87511+104430+124955+66283+181609+116839+439033+483416+67691+1656308+38882+86777+261363+16537326+0+0+0+292115+0+0+0+0+0+0+0+36441+56058+19567+50179+0+30773+0+445925+0+0+119776+364417+137486+1181945+104078+86255+66940+26194+44772+0+0)/1000</f>
        <v>23315.344000000001</v>
      </c>
      <c r="E28" s="58">
        <f>(0+0+17039+1357+25708+0+81752+0+0+3719833+0+86894+0+0+19002+0+238219+1137933+0+0+0+0+0+0+0+0+45374+2546+0+0+0+0+22068+0+0+0+114340+42419+0+287298+0+0+0+0+136953+0)/1000</f>
        <v>5978.7349999999997</v>
      </c>
      <c r="F28" s="58">
        <f t="shared" si="0"/>
        <v>32083.581000000002</v>
      </c>
      <c r="G28" s="58">
        <f>(87511+252319+197157+67640+208117+116839+520785+483416+67691+5376141+38882+173671+268184+16537326+791796+165297+401013+1596048+32082+62779+371744+126362+127915+48706+0+36441+101433+22112+135092+0+59294+36328+476915+7508+61+119776+500160+189210+1355589+487447+165876+69010+27004+44772+102715+0)/1000</f>
        <v>32056.164000000001</v>
      </c>
      <c r="H28" s="59">
        <f t="shared" si="1"/>
        <v>2.8906536670877823</v>
      </c>
      <c r="I28" s="60">
        <f>(134298+511817+202155+86481+215329+119899+521388+479437+64045+0+0+0+282556+16324956+772794+159494+167196+207954+32082+62856+376539+127107+125697+48706+0+54661+95527+0+106385+0+202977+6402+541223+0+0+126993+143215+74774+1215947+79654+167507+78697+32290+44772+34238+0)/1000</f>
        <v>24028.047999999999</v>
      </c>
    </row>
    <row r="29" spans="1:9" x14ac:dyDescent="0.2">
      <c r="A29" s="57" t="s">
        <v>168</v>
      </c>
      <c r="B29" s="58">
        <f>(32336+100042+92279+67465+70061+53445+206133+174601+26707+140137+43427+0+137017+8739719+259569+136416+117911+77038+23367+30496+120590+63253+46424+27235+9717+11230+24103+31679+52178+0+18410+14544+306067+56845+38789+0+69593+228690+722954+295075+144739+29503+16878+27628+0+0)/1000</f>
        <v>12884.29</v>
      </c>
      <c r="C29" s="58">
        <f>(0+74282+29078+0+450+0+0+0+0+0+0+0+0+0+259569+123897+118039+76803+23367+38801+124418+68446+52156+27341+0+0+0+0+1125+0+71+50577+6220+5605+50+0+10402+5579+22849+84682+70181+885+504+0+0+0)/1000</f>
        <v>1275.377</v>
      </c>
      <c r="D29" s="58">
        <f>(37592+52453+65867+79749+104481+52807+208592+179634+26735+588036+19484+41907+111843+9845147+0+0+0+135153+0+0+0+0+0+0+0+11230+24104+16133+21464+0+13624+0+310874+0+0+89412+88291+104924+721289+91739+76029+28614+16288+27628+0+0)/1000</f>
        <v>13191.123</v>
      </c>
      <c r="E29" s="58">
        <f>(0+0+8186+1633+34073+0+45024+0+0+1320646+0+40489+0+0+14352+0+167347+526489+0+0+0+0+0+0+0+0+19510+1769+0+0+0+0+15384+0+0+0+17786+36893+0+347377+0+0+0+0+84511+0)/1000</f>
        <v>2681.4690000000001</v>
      </c>
      <c r="F29" s="58">
        <f t="shared" si="0"/>
        <v>17147.969000000001</v>
      </c>
      <c r="G29" s="58">
        <f>(37592+126735+103131+81382+139004+52807+253616+179634+26735+1908682+19484+82396+114762+9845147+273921+123897+285386+738445+23367+38801+124418+68446+52156+27341+0+11230+43615+17902+22589+0+13695+50577+332478+5605+50+89412+116479+147396+744138+523798+146210+29499+16792+27628+63384+0)/1000</f>
        <v>17129.761999999999</v>
      </c>
      <c r="H29" s="59">
        <f t="shared" si="1"/>
        <v>1.5446704521988639</v>
      </c>
      <c r="I29" s="60">
        <f>(57691+257075+106561+104051+121841+54406+253909+180208+26274+0+0+0+121066+10049731+259569+119547+121238+96215+23367+38633+126023+68849+51252+27341+0+16846+48456+0+45505+0+89931+8913+377309+0+0+94800+52107+53987+729725+96311+147648+33640+20079+27628+21128+0)/1000</f>
        <v>14128.86</v>
      </c>
    </row>
    <row r="30" spans="1:9" x14ac:dyDescent="0.2">
      <c r="A30" s="57" t="s">
        <v>169</v>
      </c>
      <c r="B30" s="58">
        <f>(35974+96324+79006+34924+33016+46749+130125+215748+29907+169883+34663+0+271641+4688404+86481+38232+36621+75414+6293+15859+221611+24923+21963+14574+13842+7162+13804+16476+3997+0+1982+2294+188589+27638+20224+0+30421+78408+667918+38288+18781+14462+11853+29728+0+0)/1000</f>
        <v>7594.2020000000002</v>
      </c>
      <c r="C30" s="58">
        <f>(0+71521+24896+0+212+0+0+0+0+0+0+0+0+0+86481+34724+36749+75685+6293+20616+227384+26969+24675+14552+0+0+0+0+28967+0+11729+41890+3824+2725+26+0+7876+1356+79450+10988+9107+434+355+0+0+0)/1000</f>
        <v>849.48400000000004</v>
      </c>
      <c r="D30" s="58">
        <f>(41821+50504+56393+41283+50381+47310+131678+224638+30129+724533+15578+31353+263906+5187251+0+0+0+133185+0+0+0+0+0+0+0+7162+13805+9162+11847+0+8924+0+191111+0+0+43473+71004+49225+537840+11904+9865+14026+11487+29728+0+0)/1000</f>
        <v>8050.5060000000003</v>
      </c>
      <c r="E30" s="58">
        <f>(0+0+5655+845+11180+0+24608+0+0+1627198+0+30461+0+0+4751+0+33752+518821+0+0+0+0+0+0+0+0+11174+1284+0+0+0+0+9458+0+0+0+24727+4483+0+11887+0+0+0+0+90935+0)/1000</f>
        <v>2411.2190000000001</v>
      </c>
      <c r="F30" s="58">
        <f t="shared" si="0"/>
        <v>11311.208999999999</v>
      </c>
      <c r="G30" s="58">
        <f>(41821+122025+86944+42128+61773+47310+156286+224638+30129+2351731+15578+61814+270793+5187251+91232+34724+70501+727691+6293+20616+227384+26969+24675+14552+0+7162+24979+10447+40814+0+20654+41890+204393+2725+26+43473+103607+55064+617290+34779+18972+14460+11842+29728+68201+0)/1000</f>
        <v>11295.364</v>
      </c>
      <c r="H30" s="59">
        <f t="shared" si="1"/>
        <v>1.0185556003423029</v>
      </c>
      <c r="I30" s="60">
        <f>(64181+247521+91234+53863+59307+48269+156467+224633+29799+0+0+0+285305+4975213+86481+33505+37578+94813+6293+20772+230316+27128+24248+14552+0+10743+25523+0+25118+0+59307+7382+231953+0+0+46092+23820+30178+548959+3296+19159+16490+14160+29728+22734+0)/1000</f>
        <v>7926.12</v>
      </c>
    </row>
    <row r="31" spans="1:9" x14ac:dyDescent="0.2">
      <c r="A31" s="57" t="s">
        <v>170</v>
      </c>
      <c r="B31" s="58">
        <f>(64272+153784+81819+56014+54116+73002+246991+259609+36810+208443+54643+0+294625+7993678+216336+62831+83220+106474+24668+31012+183831+59744+45435+29858+13421+25018+26550+25606+14015+0+5332+19907+296819+51568+38745+0+50602+228225+1140856+247315+121312+44943+19411+42415+0+0)/1000</f>
        <v>12833.275</v>
      </c>
      <c r="C31" s="58">
        <f>(0+114186+25782+0+347+0+0+0+0+0+0+0+0+0+216336+57064+83502+105218+24669+40639+189498+64649+51045+29852+0+0+0+0+51433+82215+18935+56378+6016+5085+50+0+8176+5181+180714+70976+58822+1335+582+0+0+0)/1000</f>
        <v>1548.6849999999999</v>
      </c>
      <c r="D31" s="58">
        <f>(74719+80631+58401+66213+80358+74218+249942+261309+37092+871172+24141+67550+318354+9351407+0+0+0+185156+0+0+0+0+0+0+0+25018+26551+14999+26313+0+18026+0+300681+0+0+81113+72819+94648+1057896+76890+63723+43157+18812+42415+0+0)/1000</f>
        <v>13763.724</v>
      </c>
      <c r="E31" s="58">
        <f>(0+0+7154+1356+8501+0+46541+0+0+1956529+0+68642+0+0+14531+0+103843+721273+0+0+0+0+0+0+0+0+21491+1858+0+0+0+0+14880+0+0+0+15195+27743+0+196817+0+0+0+0+129744+0)/1000</f>
        <v>3336.098</v>
      </c>
      <c r="F31" s="58">
        <f t="shared" si="0"/>
        <v>18648.506999999998</v>
      </c>
      <c r="G31" s="58">
        <f>(74719+194817+91337+67569+89206+74218+296483+261309+37092+2827701+24141+136192+326663+9351407+230867+57064+187345+1011647+24669+40639+189498+64649+51045+29852+0+25018+48042+16857+77746+82215+36960+56378+321577+5085+50+81113+96189+127571+1238610+344683+122545+44492+19394+42415+97308+0)/1000</f>
        <v>18624.377</v>
      </c>
      <c r="H31" s="59">
        <f t="shared" si="1"/>
        <v>1.6794468506049367</v>
      </c>
      <c r="I31" s="60">
        <f>(114668+395175+94482+86390+95582+76516+296826+257092+37243+0+0+0+344169+10046549+216336+55061+85858+131811+24669+40619+191942+65030+50160+29852+0+37527+52296+0+55788+0+119075+9936+364939+0+0+86000+41919+53920+1072353+54568+123750+50737+23190+42415+32436+0)/1000</f>
        <v>14956.879000000001</v>
      </c>
    </row>
    <row r="32" spans="1:9" x14ac:dyDescent="0.2">
      <c r="A32" s="57" t="s">
        <v>171</v>
      </c>
      <c r="B32" s="58">
        <f>(7021+18340+15085+9399+10273+9282+41185+50504+10299+41295+8764+0+96605+1654031+37889+13997+21323+16183+3191+5432+36865+13906+12496+5131+861+4001+6968+12562+1235+0+743+815+42779+6559+4045+0+12833+161829+551241+70017+34344+7880+11011+4068+0+0)/1000</f>
        <v>3072.2869999999998</v>
      </c>
      <c r="C32" s="58">
        <f>(0+13618+4753+0+66+0+0+0+0+0+0+0+0+0+37889+12713+21390+16127+3191+6818+37561+15047+14039+5176+0+0+0+0+7491+0+3431+11538+867+647+5+0+1318+2421+36893+20094+16653+236+330+0+0+0)/1000</f>
        <v>290.31200000000001</v>
      </c>
      <c r="D32" s="58">
        <f>(8162+9616+10767+11110+16620+12700+41753+51290+10421+170099+3925+12816+84427+1727492+0+0+0+28380+0+0+0+0+0+0+0+4001+6968+7956+3505+0+3045+0+43318+0+0+10316+23734+75107+467356+21768+18041+7643+10671+4068+0+0)/1000</f>
        <v>2907.0749999999998</v>
      </c>
      <c r="E32" s="58">
        <f>(0+0+1177+227+17717+0+8600+0+0+382019+0+12063+0+0+2734+0+27134+110553+0+0+0+0+0+0+0+0+5640+945+0+0+0+0+2144+0+0+0+7552+8531+0+10353+0+0+0+0+12444+0)/1000</f>
        <v>609.83299999999997</v>
      </c>
      <c r="F32" s="58">
        <f t="shared" si="0"/>
        <v>3807.22</v>
      </c>
      <c r="G32" s="58">
        <f>(8162+23234+16697+11337+34403+12700+50353+51290+10421+552118+3925+24879+86630+1727492+40623+12713+48524+155060+3191+6818+37561+15047+14039+5176+0+4001+12609+8901+10996+0+6476+11538+46329+647+5+10316+32604+86060+504249+52215+34694+7879+11001+4068+9333+0)/1000</f>
        <v>3806.3139999999999</v>
      </c>
      <c r="H32" s="59">
        <f t="shared" si="1"/>
        <v>0.34323306812966031</v>
      </c>
      <c r="I32" s="60">
        <f>(12526+47128+17420+14496+18081+12885+50420+51290+10515+0+0+0+91289+1727147+37889+12266+22001+20203+3191+6824+38045+15136+13796+5176+0+6002+13155+0+7432+0+20200+2033+52576+0+0+10938+9408+45315+471456+2870+35035+8985+13154+4068+3111+0)/1000</f>
        <v>2933.462</v>
      </c>
    </row>
    <row r="33" spans="1:9" x14ac:dyDescent="0.2">
      <c r="A33" s="57" t="s">
        <v>172</v>
      </c>
      <c r="B33" s="58">
        <f>(14521+55092+32767+23855+19868+21661+81202+74443+10417+65085+16358+0+92167+1486393+56627+30595+32361+32125+10595+10864+59397+14776+25644+9377+2846+4443+7642+10390+23432+0+9586+10620+82053+17426+14697+0+24306+94771+503206+70049+34360+8210+11011+9775+0+0)/1000</f>
        <v>3215.0129999999999</v>
      </c>
      <c r="C33" s="58">
        <f>(0+40906+10325+0+128+0+0+0+0+0+0+0+0+0+56627+27787+32444+33899+10595+14244+62138+15989+28811+9400+0+0+0+0+429+108938+29+11363+1682+1718+19+0+2946+1989+43218+20103+16660+246+330+0+0+0)/1000</f>
        <v>552.96299999999997</v>
      </c>
      <c r="D33" s="58">
        <f>(16881+28885+23388+28199+29623+19957+82172+67892+10500+243074+7161+17272+79573+2038781+0+0+0+59653+0+0+0+0+0+0+0+4443+7642+8504+7355+0+5576+0+84089+0+0+27410+29833+46400+329066+21778+18049+7963+10671+9775+0+0)/1000</f>
        <v>3371.5650000000001</v>
      </c>
      <c r="E33" s="58">
        <f>(0+0+2689+577+2157+0+15368+0+0+545909+0+18619+0+0+4439+0+41181+232380+0+0+0+0+0+0+0+0+6186+1099+0+0+0+0+4161+0+0+0+6878+7079+0+24127+0+0+0+0+29901+0)/1000</f>
        <v>942.75</v>
      </c>
      <c r="F33" s="58">
        <f t="shared" si="0"/>
        <v>4867.2780000000002</v>
      </c>
      <c r="G33" s="58">
        <f>(16881+69791+36402+28776+31908+19957+97540+67892+10500+788983+7161+35891+81650+2038781+61066+27787+73625+325932+10595+14244+62138+15989+28811+9400+0+4443+13828+9603+7784+108938+5605+11363+89932+1718+19+27410+39657+55468+372284+66008+34709+8209+11001+9775+22426+0)/1000</f>
        <v>4861.88</v>
      </c>
      <c r="H33" s="59">
        <f t="shared" si="1"/>
        <v>0.43841837254578392</v>
      </c>
      <c r="I33" s="60">
        <f>(25907+141568+37838+36791+35338+20906+97653+66945+10555+0+0+0+86025+1983796+56627+26812+33373+42467+10595+14230+62940+16084+28311+9400+0+6664+15241+0+15594+0+36858+2003+102059+0+0+29061+16018+28627+338363+6689+35051+9361+13154+9775+7475+0)/1000</f>
        <v>3516.154</v>
      </c>
    </row>
    <row r="34" spans="1:9" x14ac:dyDescent="0.2">
      <c r="A34" s="57" t="s">
        <v>173</v>
      </c>
      <c r="B34" s="58">
        <f>(28543+70959+46356+9365+25803+22512+85973+139245+14966+117185+26477+0+83404+3320533+43762+61719+14071+52685+2580+16295+41172+39649+42525+14642+9096+16537+17004+29372+26061+0+14192+9042+164587+14326+6552+0+38855+318179+420664+174501+85595+7880+12764+17666+0+0)/1000</f>
        <v>5703.2939999999999</v>
      </c>
      <c r="C34" s="58">
        <f>(0+52687+14607+0+166+0+0+0+0+0+0+0+0+0+43762+56054+14323+52693+2580+20669+41949+42904+47776+14785+0+0+0+0+5169+0+2146+26949+3314+1413+8+0+7998+8735+43844+50079+41503+236+383+0+0+0)/1000</f>
        <v>596.73199999999997</v>
      </c>
      <c r="D34" s="58">
        <f>(33182+37205+33088+11070+37995+29460+88396+147937+16848+477322+12010+19376+80533+3821962+0+0+0+92726+0+0+0+0+0+0+0+16537+17005+14522+9301+0+8564+0+165629+0+0+22534+93059+94894+404206+54252+44962+7643+12369+17666+0+0)/1000</f>
        <v>5922.2529999999997</v>
      </c>
      <c r="E34" s="58">
        <f>(0+0+4581+227+3019+0+17371+0+0+1071998+0+18181+0+0+6794+0+11597+361213+0+0+0+0+0+0+0+0+13764+1315+0+0+0+0+8197+0+0+0+34613+47980+0+151796+0+0+0+0+54039+0)/1000</f>
        <v>1806.6849999999999</v>
      </c>
      <c r="F34" s="58">
        <f t="shared" si="0"/>
        <v>8325.67</v>
      </c>
      <c r="G34" s="58">
        <f>(33182+89892+52276+11297+41180+29460+105767+147937+16848+1549320+12010+37557+82635+3821962+50556+56054+25920+506632+2580+20669+41949+42904+47776+14785+0+16537+30769+15837+14470+0+10710+26949+177140+1413+8+22534+135670+151609+448050+256128+86466+7879+12752+17666+40529+0)/1000</f>
        <v>8314.2639999999992</v>
      </c>
      <c r="H34" s="59">
        <f t="shared" si="1"/>
        <v>0.74973592351024687</v>
      </c>
      <c r="I34" s="60">
        <f>(50924+182341+53531+14443+45299+29976+107490+149788+18239+0+0+0+87643+4136800+43762+54087+14834+66011+2580+20478+42490+43157+46948+14785+0+24805+36290+0+19720+0+51663+4749+201026+0+0+23891+27385+38035+405795+42086+87316+8985+15248+17666+13510+0)/1000</f>
        <v>6243.7759999999998</v>
      </c>
    </row>
    <row r="35" spans="1:9" x14ac:dyDescent="0.2">
      <c r="A35" s="57" t="s">
        <v>174</v>
      </c>
      <c r="B35" s="58">
        <f>(7086+19168+9739+3192+10201+11713+51601+46337+10299+37641+8891+0+47372+1443009+38394+19579+27896+11199+4582+5599+20815+19902+4092+6558+1434+28135+6968+16347+12449+0+4956+12177+108038+13140+8810+0+22234+29491+192019+54285+26628+16041+11011+3212+0+0)/1000</f>
        <v>2432.2399999999998</v>
      </c>
      <c r="C35" s="58">
        <f>(0+14232+3069+0+65+0+0+0+0+0+0+0+0+0+38394+17782+27983+11290+4582+7303+21208+21535+4597+6609+0+0+0+0+1437+0+20+5754+2192+1296+11+0+2996+605+58281+15579+12911+481+330+0+0+0)/1000</f>
        <v>280.54199999999997</v>
      </c>
      <c r="D35" s="58">
        <f>(8238+10050+6952+3773+15814+11905+52219+44255+10421+156066+3800+7069+46566+1586714+0+0+0+19868+0+0+0+0+0+0+0+28135+6968+8139+5168+0+3655+0+109570+0+0+20669+29952+24811+197469+16877+13987+15558+10671+3212+0+0)/1000</f>
        <v>2478.5509999999999</v>
      </c>
      <c r="E35" s="58">
        <f>(0+0+1081+77+12349+0+9724+0+0+350502+0+6699+0+0+4145+0+35499+77394+0+0+0+0+0+0+0+0+5640+996+0+0+0+0+5422+0+0+0+9293+3248+0+26386+0+0+0+0+9825+0)/1000</f>
        <v>558.28</v>
      </c>
      <c r="F35" s="58">
        <f t="shared" si="0"/>
        <v>3317.3729999999996</v>
      </c>
      <c r="G35" s="58">
        <f>(8238+24282+11102+3850+28228+11905+61942+44255+10421+506568+3800+13768+47781+1586714+42539+17782+63482+108552+4582+7303+21208+21535+4597+6609+0+28135+12609+9135+6605+0+3674+5754+117184+1296+11+20669+42242+28664+255750+58842+26898+16039+11001+3212+7369+0)/1000</f>
        <v>3316.1320000000001</v>
      </c>
      <c r="H35" s="59">
        <f t="shared" si="1"/>
        <v>0.29903107328584738</v>
      </c>
      <c r="I35" s="60">
        <f>(12642+49256+11246+4923+17681+12061+62014+44255+10515+0+0+0+50342+1513934+38394+17158+28784+14144+4582+7334+21481+21662+4517+6609+0+42202+13155+0+10956+0+24248+1014+132986+0+0+21914+12974+16074+197376+7316+27163+18290+13154+3212+2456+0)/1000</f>
        <v>2498.0239999999999</v>
      </c>
    </row>
    <row r="36" spans="1:9" x14ac:dyDescent="0.2">
      <c r="A36" s="57" t="s">
        <v>175</v>
      </c>
      <c r="B36" s="58">
        <f>(94982+229272+143945+67703+166600+63582+393060+368432+45194+310371+68865+0+548839+10857275+402702+201873+121766+100898+26374+45389+187083+105075+89808+43982+40931+65970+48067+81916+47674+0+19693+71888+914887+161899+85146+0+143152+57723+1105701+1703349+835517+65594+18680+48521+0+0)/1000</f>
        <v>20199.378000000001</v>
      </c>
      <c r="C36" s="58">
        <f>(0+170236+45359+0+1070+0+0+0+0+0+0+0+0+0+402702+183345+123297+101287+26374+56977+194805+113701+100897+43407+0+0+0+866+51858+0+17770+50811+18558+15963+110+0+13331+630+107849+488834+405126+1968+563+0+0+0)/1000</f>
        <v>2737.694</v>
      </c>
      <c r="D36" s="58">
        <f>(110421+120210+102745+80030+237672+63351+397771+359698+43819+1230972+29926+68750+598317+11643824+0+0+0+178239+0+0+0+0+0+0+0+65970+48069+34739+36863+0+26576+0+927524+0+0+254656+230749+77154+1117810+529571+438886+63617+18212+48521+0+0)/1000</f>
        <v>19184.662</v>
      </c>
      <c r="E36" s="58">
        <f>(0+0+10594+1639+1600+0+74068+0+0+2764588+0+70948+0+0+17254+0+172974+694328+0+0+0+0+0+0+0+0+38908+2350+0+0+0+0+45900+0+0+0+55645+44304+0+3080196+0+0+0+0+148421+0)/1000</f>
        <v>7223.7169999999996</v>
      </c>
      <c r="F36" s="58">
        <f t="shared" si="0"/>
        <v>29146.073</v>
      </c>
      <c r="G36" s="58">
        <f>(110421+290446+158698+81669+240342+63351+471840+359698+43819+3995560+29926+139698+613931+11643824+419956+183345+296271+973854+26374+56977+194805+113701+100897+43407+0+65970+86976+37089+88721+0+44346+50811+991982+15963+110+254656+299725+122088+1225659+4098601+844012+65585+18775+48521+111316+0)/1000</f>
        <v>29123.716</v>
      </c>
      <c r="H36" s="59">
        <f t="shared" si="1"/>
        <v>2.6262211677798728</v>
      </c>
      <c r="I36" s="60">
        <f>(169457+589154+166224+104418+285193+64494+472386+357181+42869+0+0+0+646832+12422149+402702+176909+127370+126887+26374+57003+197317+114372+99148+43407+0+98955+93453+0+78154+0+176071+8955+1125743+0+0+270000+119246+25477+1117252+853988+852313+74791+22450+48521+37105+0)/1000</f>
        <v>21694.32</v>
      </c>
    </row>
    <row r="37" spans="1:9" x14ac:dyDescent="0.2">
      <c r="A37" s="57" t="s">
        <v>176</v>
      </c>
      <c r="B37" s="58">
        <f>(38888+81483+38264+28240+28008+27300+99050+130745+17136+108575+22263+0+107040+5384803+109920+35273+22700+47111+8308+11262+75634+23698+27412+10198+4549+7534+9566+14271+18652+0+7760+8071+92063+13929+9983+0+18752+63834+435857+82981+40703+9087+12689+34220+0+0)/1000</f>
        <v>7367.8119999999999</v>
      </c>
      <c r="C37" s="58">
        <f>(0+60502+12057+0+180+0+0+0+0+0+0+0+0+0+109920+32036+21231+46688+8308+13987+78518+25643+30797+10210+0+0+0+0+1338+0+31+19977+1886+1373+13+0+3500+1034+10879+23814+19736+236+330+0+0+0)/1000</f>
        <v>534.22400000000005</v>
      </c>
      <c r="D37" s="58">
        <f>(45209+42723+27312+33382+42837+27756+100233+129580+17401+435939+9848+17282+112468+5927146+0+0+0+82158+0+0+0+0+0+0+0+7534+9566+8612+7611+0+5842+0+94281+0+0+21910+36926+40206+407259+25799+21381+7643+10671+34220+0+0)/1000</f>
        <v>7790.7349999999997</v>
      </c>
      <c r="E37" s="58">
        <f>(0+0+2911+683+18546+0+18664+0+0+979056+0+17426+0+0+6385+0+22314+320048+0+0+0+0+0+0+0+0+7743+1129+0+0+0+0+4666+0+0+0+10705+6959+0+45240+0+0+0+0+104676+0)/1000</f>
        <v>1567.1510000000001</v>
      </c>
      <c r="F37" s="58">
        <f t="shared" si="0"/>
        <v>9892.1099999999988</v>
      </c>
      <c r="G37" s="58">
        <f>(45209+103225+42280+34065+61563+27756+118898+129580+17401+1414995+9848+34708+115403+5927146+116305+32036+43545+448894+8308+13987+78518+25643+30797+10210+0+7534+17309+9742+8949+0+5873+19977+100833+1373+13+21910+51131+48198+418138+94853+41117+7879+11001+34220+78507+0)/1000</f>
        <v>9868.8770000000004</v>
      </c>
      <c r="H37" s="59">
        <f t="shared" si="1"/>
        <v>0.88992262112485676</v>
      </c>
      <c r="I37" s="60">
        <f>(69380+209385+44186+43554+49469+28393+119035+130308+17547+0+0+0+121587+5634098+109920+30911+21743+58488+8308+14141+79531+25794+30263+10210+0+11301+18681+0+16136+0+38703+3521+114430+0+0+23230+16273+25695+414813+12543+41522+8985+13154+34220+26169+0)/1000</f>
        <v>7675.6270000000004</v>
      </c>
    </row>
    <row r="38" spans="1:9" x14ac:dyDescent="0.2">
      <c r="A38" s="57" t="s">
        <v>177</v>
      </c>
      <c r="B38" s="58">
        <f>(213733+562492+435847+166014+418003+186998+824854+1196039+140827+1037046+164286+0+1555817+46511583+2434869+314067+377433+261832+101984+95946+614382+372024+150095+96941+137961+56235+111836+410068+140921+0+124994+50845+2978847+1140439+675514+0+278772+698163+1476231+3867463+1897045+177173+44967+205186+0+0)/1000</f>
        <v>72705.771999999997</v>
      </c>
      <c r="C38" s="58">
        <f>(0+417654+137341+0+2684+0+0+0+0+0+0+0+0+0+2434869+285243+377841+266397+101984+120223+629528+402567+168627+95221+0+0+0+29624+263367+0+35655+391253+60366+112447+872+0+48681+20947+360912+1109901+919840+5314+1348+0+0+0)/1000</f>
        <v>8800.7060000000001</v>
      </c>
      <c r="D38" s="58">
        <f>(248474+294922+311099+196242+598302+149580+834731+1220729+133413+4002382+72761+250113+1566975+51458717+0+0+0+468788+0+0+0+0+0+0+0+56235+111841+264419+132292+0+95403+0+3017002+0+0+1793831+468858+236657+1876155+1202393+996493+171832+43578+205186+0+0)/1000</f>
        <v>72479.403000000006</v>
      </c>
      <c r="E38" s="58">
        <f>(0+0+28737+4018+11656+0+155434+0+0+8988781+0+252458+0+0+128476+0+535676+1826160+0+0+0+0+0+0+0+0+90526+4234+0+0+0+0+149302+0+0+0+139865+104525+0+5817267+0+0+0+0+627645+0)/1000</f>
        <v>18864.759999999998</v>
      </c>
      <c r="F38" s="58">
        <f t="shared" ref="F38:F63" si="2">SUM(C38:E38)</f>
        <v>100144.86900000001</v>
      </c>
      <c r="G38" s="58">
        <f>(248474+712576+477177+200260+612642+149580+990165+1220729+133413+12991163+72761+502571+1607869+51458717+2563345+285243+913517+2561345+101984+120223+629528+402567+168627+95221+0+56235+202366+268653+395659+0+131058+391253+3226670+112447+872+1793831+657405+362129+2237067+8129562+1916334+177146+44926+205186+470734+0)/1000</f>
        <v>99999.23</v>
      </c>
      <c r="H38" s="59">
        <f t="shared" si="1"/>
        <v>9.0173964952716918</v>
      </c>
      <c r="I38" s="60">
        <f>(381321+1445421+503305+256043+717120+144689+991312+1226940+124408+0+0+0+1694036+49987393+2434869+275230+388083+333726+101984+120462+637647+404941+165704+95221+0+84353+193522+0+280476+0+626928+68953+3661756+0+0+1901916+196043+104381+1933212+1612844+1935181+202015+53720+205186+156911+0)/1000</f>
        <v>75647.251999999993</v>
      </c>
    </row>
    <row r="39" spans="1:9" x14ac:dyDescent="0.2">
      <c r="A39" s="57" t="s">
        <v>178</v>
      </c>
      <c r="B39" s="58">
        <f>(84411+222520+182907+82642+130428+110913+372501+476487+58098+396312+95639+0+528799+11170861+300438+115000+103039+189028+69639+53685+230153+103461+69389+50174+39662+35149+44994+46585+75662+710711+33637+72501+459667+116163+68579+0+113158+379815+1372940+290967+142723+19573+102404+77688+0+0)/1000</f>
        <v>19399.101999999999</v>
      </c>
      <c r="C39" s="58">
        <f>(0+165222+57636+0+837+0+0+0+0+0+0+0+0+0+300438+104446+105045+190889+69639+67852+242459+111955+77957+50595+0+0+0+0+6063+0+5094+45866+9330+11454+89+0+19030+10329+40804+83503+69204+869+1013+0+0+0)/1000</f>
        <v>1847.6179999999999</v>
      </c>
      <c r="D39" s="58">
        <f>(98132+116670+130556+97689+195376+124165+376931+493677+63058+1602591+42921+84824+541684+12040481+0+0+0+335912+0+0+0+0+0+0+0+35149+44996+18522+32332+0+28036+0+466310+0+0+182716+173010+167699+1176044+90461+74971+28097+32769+77688+0+0)/1000</f>
        <v>18973.467000000001</v>
      </c>
      <c r="E39" s="58">
        <f>(0+0+18824+2000+73866+0+81359+0+0+3599192+0+82952+0+0+16783+0+86970+1308545+0+0+0+0+0+0+0+0+36421+2660+0+0+0+0+23076+0+0+0+55939+64101+0+214878+0+0+0+0+237640+0)/1000</f>
        <v>5905.2060000000001</v>
      </c>
      <c r="F39" s="58">
        <f t="shared" si="2"/>
        <v>26726.290999999997</v>
      </c>
      <c r="G39" s="58">
        <f>(98132+281892+207016+99689+270079+124165+458291+493677+63058+5201783+42921+167776+555820+12040481+317221+104446+192015+1835346+69639+67852+242459+111955+77957+50595+0+35149+81417+21182+38395+0+33130+45866+498716+11454+89+182716+247980+242130+1216848+388843+144174+28966+33782+77688+178230+0)/1000</f>
        <v>26681.02</v>
      </c>
      <c r="H39" s="59">
        <f t="shared" si="1"/>
        <v>2.4059518882122783</v>
      </c>
      <c r="I39" s="60">
        <f>(150598+571804+211216+127458+226763+127299+458822+496230+66843+0+0+0+586254+12153597+300438+100780+107612+239134+69639+67451+245586+112615+76606+50595+0+52724+93503+0+68547+34619+185092+8083+565964+0+0+193725+65395+84339+1184782+59575+145592+33032+40395+77688+59410+0)/1000</f>
        <v>19499.805</v>
      </c>
    </row>
    <row r="40" spans="1:9" x14ac:dyDescent="0.2">
      <c r="A40" s="57" t="s">
        <v>179</v>
      </c>
      <c r="B40" s="58">
        <f>(3860+13487+12678+8037+12533+11173+34006+40357+10299+33298+5933+0+28532+890865+26313+13503+21069+9661+2506+4391+24756+17307+10498+3689+782+4001+6534+11463+4447+0+3000+732+49116+4462+3584+0+8859+157834+312044+14293+7011+7913+11011+3535+0+0)/1000</f>
        <v>1849.3720000000001</v>
      </c>
      <c r="C40" s="58">
        <f>(0+10014+3995+0+80+0+0+0+0+0+0+0+0+0+26313+12264+21400+11052+2506+5578+25223+18728+11795+3704+0+0+0+0+1196+0+508+7718+1020+440+5+0+889+2724+8100+4102+3399+236+330+0+0+0)/1000</f>
        <v>183.31899999999999</v>
      </c>
      <c r="D40" s="58">
        <f>(4487+7071+9049+9500+21214+11383+34970+43310+10421+135924+2732+3999+17968+981606+0+0+0+19448+0+0+0+0+0+0+0+4001+6534+7754+2269+0+2593+0+50963+0+0+7018+15617+81015+283111+4444+3683+7643+10671+3535+0+0)/1000</f>
        <v>1803.933</v>
      </c>
      <c r="E40" s="58">
        <f>(0+0+805+195+35446+0+6872+0+0+305267+0+4151+0+0+1355+0+27147+75760+0+0+0+0+0+0+0+0+5289+888+0+0+0+0+2522+0+0+0+4114+5123+0+7449+0+0+0+0+10813+0)/1000</f>
        <v>493.19600000000003</v>
      </c>
      <c r="F40" s="58">
        <f t="shared" si="2"/>
        <v>2480.4479999999999</v>
      </c>
      <c r="G40" s="58">
        <f>(4487+17085+13849+9695+56740+11383+41841+43310+10421+441191+2732+8150+18436+981606+27668+12264+48547+106260+2506+5578+25223+18728+11795+3704+0+4001+11823+8642+3465+0+3101+7718+54505+440+5+7018+20619+88863+291211+15995+7082+7879+11001+3535+8110+0)/1000</f>
        <v>2478.212</v>
      </c>
      <c r="H40" s="59">
        <f t="shared" si="1"/>
        <v>0.22347192276720781</v>
      </c>
      <c r="I40" s="60">
        <f>(6887+34657+14640+12396+21721+11518+42523+43310+10515+0+0+0+19653+884182+26313+11833+22012+13845+2506+5520+25549+18838+11590+3704+0+6001+13155+0+4810+0+13875+1360+61854+0+0+7441+7624+56793+289184+2065+7152+8985+13154+3535+2703+0)/1000</f>
        <v>1743.403</v>
      </c>
    </row>
    <row r="41" spans="1:9" x14ac:dyDescent="0.2">
      <c r="A41" s="57" t="s">
        <v>180</v>
      </c>
      <c r="B41" s="58">
        <f>(113825+293015+143328+71874+117959+103333+474262+593749+75762+489205+104917+0+550058+18816226+725566+209503+156643+187915+70125+60448+376222+238436+172024+56939+24475+96228+64539+66408+144164+0+53116+81926+687560+206354+104437+0+121021+206760+1488996+489214+239966+90364+27692+62151+0+0)/1000</f>
        <v>28456.705000000002</v>
      </c>
      <c r="C41" s="58">
        <f>(0+217565+45164+0+757+0+0+0+0+0+0+0+0+0+725566+190276+155675+189480+70125+76089+386473+258012+193264+56958+0+0+0+0+13607+12305+5881+83289+13919+20347+135+0+18542+4377+43134+140397+116355+2711+830+0+0+0)/1000</f>
        <v>3041.2330000000002</v>
      </c>
      <c r="D41" s="58">
        <f>(132327+153631+102305+84961+171400+140557+479921+598242+75058+1991251+46295+154896+507903+21602268+0+0+0+333434+0+0+0+0+0+0+0+96228+64542+16569+62160+0+40977+0+695643+0+0+324580+214272+104057+1490926+152097+126051+87641+26836+62151+0+0)/1000</f>
        <v>30139.179</v>
      </c>
      <c r="E41" s="58">
        <f>(0+0+12292+1739+919+0+92477+0+0+4472067+0+155190+0+0+33946+0+226880+1298889+0+0+0+0+0+0+0+0+52241+2857+0+0+0+0+34425+0+0+0+64556+22973+0+407761+0+0+0+0+190114+0)/1000</f>
        <v>7069.326</v>
      </c>
      <c r="F41" s="58">
        <f t="shared" si="2"/>
        <v>40249.737999999998</v>
      </c>
      <c r="G41" s="58">
        <f>(132327+371196+159761+86700+173076+140557+572398+598242+75058+6463318+46295+310086+521158+21602268+759512+190276+382555+1821803+70125+76089+386473+258012+193264+56958+0+96228+116783+19426+75766+12305+46858+83289+743987+20347+135+324580+297371+131407+1534060+700254+242406+90352+27666+62151+142586+0)/1000</f>
        <v>40215.464</v>
      </c>
      <c r="H41" s="59">
        <f t="shared" si="1"/>
        <v>3.6264157646946371</v>
      </c>
      <c r="I41" s="60">
        <f>(203075+752953+165511+110850+205692+143217+573061+597766+74121+0+0+0+549087+22379172+725566+183596+160529+237369+70125+75942+391457+259533+189914+56958+0+144343+98502+0+131786+0+270408+14678+844307+0+0+344137+88983+64443+1496192+113052+244790+103035+33082+62151+47529+0)/1000</f>
        <v>32206.912</v>
      </c>
    </row>
    <row r="42" spans="1:9" x14ac:dyDescent="0.2">
      <c r="A42" s="57" t="s">
        <v>181</v>
      </c>
      <c r="B42" s="58">
        <f>(56821+139911+53911+58571+45403+42141+161933+199914+27009+160950+39919+0+246739+3721917+138008+47498+43897+80014+24910+21733+134239+70515+98608+19198+8585+15973+17150+17762+28420+0+14600+8027+160893+46504+25431+0+48360+108993+750245+85488+41933+13823+31890+47918+0+0)/1000</f>
        <v>7105.7539999999999</v>
      </c>
      <c r="C42" s="58">
        <f>(0+103885+16988+0+292+0+0+0+0+0+0+0+0+0+138008+43138+42574+85968+24910+28451+138759+76305+110783+19213+0+0+0+0+796+36353+58+39338+3263+4585+33+0+4490+1736+84102+24534+20333+389+468+0+0+0)/1000</f>
        <v>1049.752</v>
      </c>
      <c r="D42" s="58">
        <f>(66057+73357+38481+69236+69605+48776+163861+201434+27923+665039+17710+30986+255843+4647755+0+0+0+151281+0+0+0+0+0+0+0+15973+17151+9811+11578+0+10987+0+163081+0+0+73148+39599+63082+712981+26578+22027+12578+15128+47918+0+0)/1000</f>
        <v>7768.9639999999999</v>
      </c>
      <c r="E42" s="58">
        <f>(0+0+5020+1417+30327+0+35369+0+0+1493583+0+31482+0+0+7124+0+31955+589315+0+0+0+0+0+0+0+0+13882+1467+0+0+0+0+8070+0+0+0+7941+9201+0+34545+0+0+0+0+146577+0)/1000</f>
        <v>2447.2750000000001</v>
      </c>
      <c r="F42" s="58">
        <f t="shared" si="2"/>
        <v>11265.991</v>
      </c>
      <c r="G42" s="58">
        <f>(66057+177242+60489+70653+100224+48776+199230+201434+27923+2158622+17710+62468+262520+4647755+145132+43138+74529+826564+24910+28451+138759+76305+110783+19213+0+15973+31033+11278+12375+36353+11046+39338+174414+4585+33+73148+52030+74019+797083+85657+42360+12967+15596+47918+109933+0)/1000</f>
        <v>11236.026</v>
      </c>
      <c r="H42" s="59">
        <f t="shared" si="1"/>
        <v>1.0132048164089025</v>
      </c>
      <c r="I42" s="60">
        <f>(101374+359526+62255+90334+80363+50567+199461+199934+28700+0+0+0+276588+4195532+138008+41624+42791+107696+24910+28466+140549+76755+108863+19213+0+23960+33994+0+24548+0+72681+6933+197933+0+0+77555+23544+42129+720041+9578+42776+14787+18648+47918+36644+0)/1000</f>
        <v>7767.1779999999999</v>
      </c>
    </row>
    <row r="43" spans="1:9" x14ac:dyDescent="0.2">
      <c r="A43" s="57" t="s">
        <v>182</v>
      </c>
      <c r="B43" s="58">
        <f>(25884+70127+66634+26527+119064+52920+136479+150328+20436+121099+32508+0+511609+8310688+165836+74508+38376+61756+19409+20559+104126+122291+43607+20233+6535+15301+20579+25702+35603+0+18349+30934+342662+18813+8958+0+68583+201285+598842+401290+196838+18133+14487+24217+0+0)/1000</f>
        <v>12362.115</v>
      </c>
      <c r="C43" s="58">
        <f>(0+52070+20997+0+765+0+0+0+0+0+0+0+0+0+165836+67670+37213+58967+19409+25706+106091+132331+48991+20419+0+0+0+0+384+0+72+19383+6934+1855+12+0+8465+4966+64041+115164+95443+544+434+0+0+0)/1000</f>
        <v>1074.162</v>
      </c>
      <c r="D43" s="58">
        <f>(30091+36768+47562+31357+171262+44274+141558+146532+20109+499154+14172+27595+418725+9551990+0+0+0+103766+0+0+0+0+0+0+0+15301+20580+13778+14477+0+13605+0+346548+0+0+29591+102254+86270+558998+124761+103397+17586+14040+24217+0+0)/1000</f>
        <v>12770.317999999999</v>
      </c>
      <c r="E43" s="58">
        <f>(0+0+6448+642+36513+0+30555+0+0+1121029+0+28356+0+0+12226+0+54516+404221+0+0+0+0+0+0+0+0+16658+1514+0+0+0+0+17150+0+0+0+23444+23635+0+335598+0+0+0+0+74078+0)/1000</f>
        <v>2186.5830000000001</v>
      </c>
      <c r="F43" s="58">
        <f t="shared" si="2"/>
        <v>16031.063</v>
      </c>
      <c r="G43" s="58">
        <f>(30091+88838+75007+31999+208540+44274+172113+146532+20109+1620183+14172+55951+429652+9551990+178062+67670+91729+566954+19409+25706+106091+132331+48991+20419+0+15301+37238+15292+14860+0+13676+19383+370632+1855+12+29591+134163+114871+623039+575523+198840+18130+14474+24217+55558+0)/1000</f>
        <v>16023.468000000001</v>
      </c>
      <c r="H43" s="59">
        <f t="shared" si="1"/>
        <v>1.4449107676658921</v>
      </c>
      <c r="I43" s="60">
        <f>(46180+180204+76947+40913+201765+44336+172313+144861+20081+0+0+0+452678+9596184+165836+65294+38239+73870+19409+25832+107459+133111+48141+20419+0+22952+47429+0+30692+0+89843+3416+420607+0+0+31374+55043+50214+577677+93045+200795+20675+17306+24217+18519+0)/1000</f>
        <v>13377.876</v>
      </c>
    </row>
    <row r="44" spans="1:9" x14ac:dyDescent="0.2">
      <c r="A44" s="57" t="s">
        <v>183</v>
      </c>
      <c r="B44" s="58">
        <f>(119949+317067+182491+85763+204505+159750+462948+662525+76687+523807+104418+0+705698+22585634+717125+181381+203025+170246+55337+61605+356967+253117+169234+62540+38137+79829+59103+96387+178088+0+54646+105606+735149+378567+164708+0+163708+349955+1949561+861556+422605+63583+33888+52851+0+0)/1000</f>
        <v>34209.745999999999</v>
      </c>
      <c r="C44" s="58">
        <f>(0+235424+57505+0+1313+0+0+0+0+0+0+0+0+0+717125+164734+203099+172670+55337+77537+366473+273898+190130+62403+0+0+0+0+19975+0+3391+102402+14887+37327+213+0+17510+8884+139699+247253+204913+1907+1016+0+0+0)/1000</f>
        <v>3377.0250000000001</v>
      </c>
      <c r="D44" s="58">
        <f>(139446+166242+130259+101379+294423+134605+468474+708625+76854+2224964+47075+150022+677554+26024907+0+0+0+303852+0+0+0+0+0+0+0+79829+59106+36186+77108+0+42243+0+744058+0+0+595459+312148+145808+1833150+267857+221989+61668+32857+52851+0+0)/1000</f>
        <v>36210.998</v>
      </c>
      <c r="E44" s="58">
        <f>(0+0+14382+2076+19840+0+90473+0+0+4996953+0+152741+0+0+26444+0+297671+1183656+0+0+0+0+0+0+0+0+47841+3053+0+0+0+0+36821+0+0+0+87290+44908+0+984185+0+0+0+0+161666+0)/1000</f>
        <v>8150</v>
      </c>
      <c r="F44" s="58">
        <f t="shared" si="2"/>
        <v>47738.023000000001</v>
      </c>
      <c r="G44" s="58">
        <f>(139446+401666+202146+103455+315576+134605+558947+708625+76854+7221917+47075+302763+695236+26024907+743569+164734+500770+1660178+55337+77537+366473+273898+190130+62403+0+79829+106947+39239+97082+0+45634+102402+795766+37327+213+595459+416949+199601+1972849+1499295+426902+63575+33873+52851+121250+0)/1000</f>
        <v>47715.29</v>
      </c>
      <c r="H44" s="59">
        <f t="shared" si="1"/>
        <v>4.3027100190358709</v>
      </c>
      <c r="I44" s="60">
        <f>(214001+814759+210736+132272+351400+136144+559594+712354+74639+0+0+0+732494+24235711+717125+158952+208571+216310+55337+77389+371199+275513+186834+62403+0+119743+107007+0+163479+0+278301+18047+903068+0+0+631338+140596+73358+1835833+272866+431101+72499+40503+52851+40417+0)/1000</f>
        <v>35684.743999999999</v>
      </c>
    </row>
    <row r="45" spans="1:9" x14ac:dyDescent="0.2">
      <c r="A45" s="57" t="s">
        <v>184</v>
      </c>
      <c r="B45" s="58">
        <f>(6018+18079+18378+6781+20022+16173+47553+55157+10299+46350+8704+0+98195+1892133+94708+12328+24218+13066+6634+4527+33941+16415+9502+5175+5562+4394+7599+19629+17087+0+8533+14572+99344+40700+22964+0+18360+62052+288428+160023+78494+10778+11011+4081+0+0)/1000</f>
        <v>3337.9670000000001</v>
      </c>
      <c r="C45" s="58">
        <f>(0+13424+5791+0+129+0+0+0+0+0+0+0+0+0+94708+11197+24294+13563+6634+5944+34581+17763+10675+5152+0+0+0+0+7745+0+1677+7490+1988+4013+30+0+2098+925+109595+45924+38060+323+330+0+0+0)/1000</f>
        <v>464.053</v>
      </c>
      <c r="D45" s="58">
        <f>(6996+9479+13118+8016+32610+11383+48123+55523+10421+184792+3804+7149+73695+2107649+0+0+0+23867+0+0+0+0+0+0+0+4394+7599+7941+6813+0+4708+0+99378+0+0+64018+51442+19455+269832+49751+41232+10454+10671+4081+0+0)/1000</f>
        <v>3248.3939999999998</v>
      </c>
      <c r="E45" s="58">
        <f>(0+0+1297+164+45638+0+8961+0+0+415016+0+6210+0+0+2703+0+30819+92975+0+0+0+0+0+0+0+0+6151+940+0+0+0+0+4918+0+0+0+19473+4163+0+29050+0+0+0+0+12483+0)/1000</f>
        <v>680.96100000000001</v>
      </c>
      <c r="F45" s="58">
        <f t="shared" si="2"/>
        <v>4393.4079999999994</v>
      </c>
      <c r="G45" s="58">
        <f>(6996+22903+20206+8180+78377+11383+57084+55523+10421+599808+3804+13359+75618+2107649+97411+11197+55113+130405+6634+5944+34581+17763+10675+5152+0+4394+13750+8882+14557+0+6385+7490+106284+4013+30+64018+73012+24543+379427+124725+79292+10777+11001+4081+9363+0)/1000</f>
        <v>4392.21</v>
      </c>
      <c r="H45" s="59">
        <f t="shared" si="1"/>
        <v>0.39606604031348319</v>
      </c>
      <c r="I45" s="60">
        <f>(10737+46457+21222+10458+34325+11518+57151+55561+10515+0+0+0+79671+1909118+94708+10804+24989+16991+6634+5930+35027+17868+10490+5152+0+6591+13287+0+14444+0+31134+1320+120615+0+0+67876+15042+6408+271970+8054+80072+12289+13154+4081+3121+0)/1000</f>
        <v>3144.7840000000001</v>
      </c>
    </row>
    <row r="46" spans="1:9" x14ac:dyDescent="0.2">
      <c r="A46" s="57" t="s">
        <v>185</v>
      </c>
      <c r="B46" s="58">
        <f>(73778+171163+82336+28872+26281+68603+192315+276490+31866+216311+48468+0+195598+5261700+99638+65610+49011+101832+9867+24914+131256+50770+22756+24538+32507+17939+23719+26471+38268+176175+17036+8590+196274+54965+34976+0+44967+129473+782361+47052+23080+29117+18919+31518+0+0)/1000</f>
        <v>8987.3799999999992</v>
      </c>
      <c r="C46" s="58">
        <f>(0+127090+25945+0+169+0+0+0+0+0+0+0+0+0+99638+59588+50037+103428+9867+32948+133735+54938+25566+24773+0+0+0+0+1924+109124+821+45896+3977+5420+45+0+6552+3181+96038+13503+11191+493+427+0+0+0)/1000</f>
        <v>1046.3140000000001</v>
      </c>
      <c r="D46" s="58">
        <f>(85770+89743+58770+34129+40633+65776+194609+269614+32609+940421+21089+39981+202576+5748601+0+0+0+182005+0+0+0+0+0+0+0+17939+23720+10602+15688+0+12759+0+198755+0+0+86456+39242+84651+752703+14629+12123+15949+13820+31518+0+0)/1000</f>
        <v>9336.8799999999992</v>
      </c>
      <c r="E46" s="58">
        <f>(0+0+6034+699+3689+0+42006+0+0+2112051+0+40560+0+0+10153+0+35118+708999+0+0+0+0+0+0+0+0+19199+1690+0+0+0+0+9836+0+0+0+4180+13769+0+31424+0+0+0+0+96411+0)/1000</f>
        <v>3135.8180000000002</v>
      </c>
      <c r="F46" s="58">
        <f t="shared" si="2"/>
        <v>13519.011999999999</v>
      </c>
      <c r="G46" s="58">
        <f>(85770+216833+90749+34828+44491+65776+236615+269614+32609+3052472+21089+80541+207863+5748601+109791+59588+85155+994432+9867+32948+133735+54938+25566+24773+0+17939+42919+12292+17612+109124+13580+45896+212568+5420+45+86456+49973+101601+848741+59556+23314+16442+14247+31518+72308+0)/1000</f>
        <v>13500.195</v>
      </c>
      <c r="H46" s="59">
        <f t="shared" si="1"/>
        <v>1.2173754845760754</v>
      </c>
      <c r="I46" s="60">
        <f>(131627+439833+95079+44529+48395+67375+236889+266068+33980+0+0+0+219952+5463083+99638+57497+51856+129568+9867+32631+135459+55262+25123+24773+0+26909+46754+0+33260+4598+84165+8088+241231+0+0+91665+29399+53534+753205+8712+23544+18750+17035+31518+24103+0)/1000</f>
        <v>9164.9539999999997</v>
      </c>
    </row>
    <row r="47" spans="1:9" x14ac:dyDescent="0.2">
      <c r="A47" s="57" t="s">
        <v>186</v>
      </c>
      <c r="B47" s="58">
        <f>(9001+28672+17595+6407+9004+9173+39046+50504+10299+41295+7944+0+33213+650543+21207+9764+19504+14434+1711+5127+28241+7743+6743+4247+929+4001+6042+10780+8004+0+3506+603+37174+3544+3005+0+6996+74791+352878+35793+17557+7880+11011+4095+0+0)/1000</f>
        <v>1620.0060000000001</v>
      </c>
      <c r="C47" s="58">
        <f>(0+21289+5544+0+58+0+0+0+0+0+0+0+0+0+21207+8868+19299+14662+1711+6585+28774+8379+7576+4299+0+0+0+0+1+0+13+9551+765+349+4+0+291+1393+77073+10272+8513+236+330+0+0+0)/1000</f>
        <v>257.04199999999997</v>
      </c>
      <c r="D47" s="58">
        <f>(10464+15033+12559+7574+14419+11383+39613+51082+10421+170099+3503+7773+28735+720977+0+0+0+25802+0+0+0+0+0+0+0+4001+6042+7836+3038+0+2622+0+38222+0+0+5575+11724+40812+324785+11128+9222+7643+10671+4095+0+0)/1000</f>
        <v>1616.8530000000001</v>
      </c>
      <c r="E47" s="58">
        <f>(0+0+1106+155+13302+0+8428+0+0+382019+0+7609+0+0+2286+0+24483+100511+0+0+0+0+0+0+0+0+4891+911+0+0+0+0+1892+0+0+0+3434+4117+0+11636+0+0+0+0+12526+0)/1000</f>
        <v>579.30600000000004</v>
      </c>
      <c r="F47" s="58">
        <f t="shared" si="2"/>
        <v>2453.201</v>
      </c>
      <c r="G47" s="58">
        <f>(10464+36322+19209+7729+27779+11383+48042+51082+10421+552118+3503+15382+29485+720977+23493+8868+43782+140975+1711+6585+28774+8379+7576+4299+0+4001+10933+8747+3039+0+2636+9551+40879+349+4+5575+15449+46322+401858+33036+17736+7879+11001+4095+9395+0)/1000</f>
        <v>2450.8229999999999</v>
      </c>
      <c r="H47" s="59">
        <f t="shared" si="1"/>
        <v>0.221002129023706</v>
      </c>
      <c r="I47" s="60">
        <f>(16059+73678+20318+9882+15904+11518+48280+51082+10515+0+0+0+31163+680672+21207+8556+19851+18368+1711+6584+29145+8429+7445+4299+0+6002+13155+0+6440+0+15593+1683+46391+0+0+5910+5368+24508+328819+3226+17910+8985+13154+4095+3132+0)/1000</f>
        <v>1599.037</v>
      </c>
    </row>
    <row r="48" spans="1:9" x14ac:dyDescent="0.2">
      <c r="A48" s="57" t="s">
        <v>187</v>
      </c>
      <c r="B48" s="58">
        <f>(104807+236332+109631+50970+84952+54934+258272+328541+41689+259891+63582+0+247943+8560016+190892+100899+72437+131824+37702+33902+181068+59114+68887+32800+26534+30117+31980+27063+47569+3962+21555+24121+282397+82412+55785+0+55814+307583+1096988+183142+89834+23318+19125+84972+0+0)/1000</f>
        <v>13805.356</v>
      </c>
      <c r="C48" s="58">
        <f>(0+175478+34546+0+545+0+0+0+0+0+0+0+0+0+190892+91639+73763+131346+37702+44790+184485+63967+77393+32987+0+0+0+0+4947+0+2388+61351+5710+8126+72+0+6592+5003+103950+52559+43559+699+573+0+0+0)/1000</f>
        <v>1435.0619999999999</v>
      </c>
      <c r="D48" s="58">
        <f>(121843+123912+78253+60251+123797+82682+261349+323518+42673+1107656+27802+72838+295946+9288009+0+0+0+231134+0+0+0+0+0+0+0+30117+31981+11669+20905+0+19020+0+285392+0+0+129628+70154+148069+931802+56939+47189+22616+18535+84972+0+0)/1000</f>
        <v>14150.651</v>
      </c>
      <c r="E48" s="58">
        <f>(0+0+8176+1234+1532+0+56411+0+0+2487638+0+73683+0+0+12995+0+64311+900382+0+0+0+0+0+0+0+0+25886+1991+0+0+0+0+14123+0+0+0+15503+34401+0+117262+0+0+0+0+259921+0)/1000</f>
        <v>4075.4490000000001</v>
      </c>
      <c r="F48" s="58">
        <f t="shared" si="2"/>
        <v>19661.162</v>
      </c>
      <c r="G48" s="58">
        <f>(121843+299390+120975+61485+125874+82682+317760+323518+42673+3595294+27802+146521+303670+9288009+203887+91639+138074+1262862+37702+44790+184485+63967+77393+32987+0+30117+57867+13660+25852+0+21409+61351+305225+8126+72+129628+92250+187473+1035752+226760+90747+23315+19108+84972+194941+0)/1000</f>
        <v>19603.906999999999</v>
      </c>
      <c r="H48" s="59">
        <f t="shared" si="1"/>
        <v>1.7677756346267084</v>
      </c>
      <c r="I48" s="60">
        <f>(186986+607296+126599+78610+148474+84546+318128+321316+44190+0+0+0+320618+9228202+190892+88422+75604+164543+37702+44404+186864+64345+76051+32987+0+45176+64189+0+44322+0+125770+10812+346382+0+0+137439+38766+89349+960048+32511+91640+26588+22848+84972+64980+0)/1000</f>
        <v>14612.571</v>
      </c>
    </row>
    <row r="49" spans="1:9" x14ac:dyDescent="0.2">
      <c r="A49" s="57" t="s">
        <v>188</v>
      </c>
      <c r="B49" s="58">
        <f>(538933+1262396+491978+398536+191969+199943+1126359+1625609+204565+1285886+307026+0+1601525+28444359+484652+315526+163074+594694+59844+167584+706245+247697+179723+138235+119464+52194+144716+174572+238609+0+90534+128012+1403826+157320+96547+0+205287+1100883+4052962+1553087+761811+734+0+198689+0+0)/1000</f>
        <v>51215.605000000003</v>
      </c>
      <c r="C49" s="58">
        <f>(0+937337+155028+0+1233+0+0+0+0+0+0+0+0+0+484652+286568+165993+645411+59844+220367+731381+268032+201915+139851+0+0+0+0+60719+4668739+16517+219842+28449+15512+124+0+39172+31026+521696+445712+369387+2201+2586+0+0+0)/1000</f>
        <v>10719.294</v>
      </c>
      <c r="D49" s="58">
        <f>(626533+661890+351165+471102+298988+295274+1142996+1591964+209657+5529552+134331+153168+1321131+32867898+0+0+0+1135749+0+0+0+0+0+0+0+52194+144722+85648+99260+0+70236+0+1421865+0+0+247453+323259+436180+4322156+482854+400170+71155+83616+198689+0+0)/1000</f>
        <v>55230.855000000003</v>
      </c>
      <c r="E49" s="58">
        <f>(0+0+51779+9645+18319+0+242756+0+0+12418589+0+152146+0+0+49519+0+134407+4424304+0+0+0+0+0+0+0+0+117141+6039+0+0+0+0+70364+0+0+0+72885+172482+0+1001319+0+0+0+0+607771+0)/1000</f>
        <v>19549.465</v>
      </c>
      <c r="F49" s="58">
        <f t="shared" si="2"/>
        <v>85499.614000000001</v>
      </c>
      <c r="G49" s="58">
        <f>(626533+1599227+557972+480747+318540+295274+1385753+1591964+209657+17948141+134331+305314+1355609+32867898+534171+286568+300400+6205464+59844+220367+731381+268032+201915+139851+0+52194+261863+91688+159979+4668739+86753+219842+1520678+15512+124+247453+435316+639687+4843852+1929885+769557+73356+86202+198689+455828+0)/1000</f>
        <v>85382.15</v>
      </c>
      <c r="H49" s="59">
        <f t="shared" si="1"/>
        <v>7.6993062863460233</v>
      </c>
      <c r="I49" s="60">
        <f>(961510+3243946+568123+614660+357027+299846+1387358+1591856+217697+0+0+0+1433693+29126544+484652+276508+171916+808531+59844+219499+740813+269613+198414+139851+0+78291+290288+0+210445+19421+462982+38744+1725726+0+0+262363+175260+227441+4333213+277617+777126+83653+103074+198689+151943+0)/1000</f>
        <v>52588.177000000003</v>
      </c>
    </row>
    <row r="50" spans="1:9" x14ac:dyDescent="0.2">
      <c r="A50" s="57" t="s">
        <v>189</v>
      </c>
      <c r="B50" s="58">
        <f>(32863+105348+39947+25487+19889+35396+127316+82297+14762+67822+29190+0+143321+2430057+75356+37106+25996+64668+12591+21163+73470+39599+13396+15149+5453+10721+16589+14323+21624+0+8110+9407+98173+4390+3709+0+33438+150838+429041+302656+148457+8458+11011+27172+0+0)/1000</f>
        <v>4835.759</v>
      </c>
      <c r="C50" s="58">
        <f>(0+78222+12588+0+128+0+0+0+0+0+0+0+0+0+75356+33701+25960+61924+12591+27683+75751+42850+15050+15403+0+0+0+0+1410+0+31+15355+1988+433+5+0+4886+3625+38347+86858+71984+254+330+0+0+0)/1000</f>
        <v>702.71299999999997</v>
      </c>
      <c r="D50" s="58">
        <f>(38205+55235+28513+30128+37708+36436+130910+86949+15565+274072+13200+23978+124083+2704044+0+0+0+108969+0+0+0+0+0+0+0+10721+16590+9343+8789+0+6029+0+99378+0+0+6905+44196+88537+388397+94096+77983+8203+10671+27172+0+0)/1000</f>
        <v>4605.0050000000001</v>
      </c>
      <c r="E50" s="58">
        <f>(0+0+3170+617+90312+0+25726+0+0+615526+0+26428+0+0+7335+0+32932+424490+0+0+0+0+0+0+0+0+13428+1335+0+0+0+0+4918+0+0+0+9651+25216+0+172965+0+0+0+0+83117+0)/1000</f>
        <v>1537.1659999999999</v>
      </c>
      <c r="F50" s="58">
        <f t="shared" si="2"/>
        <v>6844.884</v>
      </c>
      <c r="G50" s="58">
        <f>(38205+133457+44271+30745+128148+36436+156636+86949+15565+889598+13200+50406+127322+2704044+82691+33701+58892+595383+12591+27683+75751+42850+15050+15403+0+10721+30019+10679+10200+0+6060+15355+106284+433+5+6905+58733+117378+426744+353918+149966+8457+11001+27172+62337+0)/1000</f>
        <v>6827.3440000000001</v>
      </c>
      <c r="H50" s="59">
        <f t="shared" si="1"/>
        <v>0.61565341910746929</v>
      </c>
      <c r="I50" s="60">
        <f>(58631+270710+46130+39308+35721+36624+156817+86202+16002+0+0+0+134251+2607832+75356+32518+26702+77574+12591+27719+76728+43103+14790+15403+0+16082+45425+0+18635+0+39776+2706+120615+0+0+7321+25489+46379+388747+47955+151441+9644+13154+27172+20779+0)/1000</f>
        <v>4872.0320000000002</v>
      </c>
    </row>
    <row r="51" spans="1:9" x14ac:dyDescent="0.2">
      <c r="A51" s="57" t="s">
        <v>190</v>
      </c>
      <c r="B51" s="58">
        <f>(4181+9843+12578+4594+10786+16348+32787+37700+10299+31148+4489+0+29836+1144899+47197+10827+20909+7057+3945+2657+23512+11253+12049+3046+1020+4001+6460+10122+8010+0+3469+6739+73753+1987+1105+0+10124+21578+227901+77769+38147+7880+11011+3038+0+0)/1000</f>
        <v>2006.0540000000001</v>
      </c>
      <c r="C51" s="58">
        <f>(0+7308+3963+0+69+0+0+0+0+0+0+0+0+0+47197+9834+20974+6949+3945+3307+24556+12177+13536+3052+0+0+0+0+754+0+13+2849+1479+196+1+0+1110+361+41068+22319+18497+236+330+0+0+0)/1000</f>
        <v>246.08</v>
      </c>
      <c r="D51" s="58">
        <f>(4861+5161+8978+5430+15755+11383+33717+37467+10421+126973+1931+4284+20226+1212789+0+0+0+12228+0+0+0+0+0+0+0+4001+6460+7664+3259+0+2552+0+73896+0+0+3125+17474+19252+227885+24178+20038+7643+10671+3038+0+0)/1000</f>
        <v>1942.74</v>
      </c>
      <c r="E51" s="58">
        <f>(0+0+962+111+2996+0+6626+0+0+285164+0+3877+0+0+1617+0+26608+47635+0+0+0+0+0+0+0+0+5229+862+0+0+0+0+3657+0+0+0+4880+1981+0+14711+0+0+0+0+9293+0)/1000</f>
        <v>416.209</v>
      </c>
      <c r="F51" s="58">
        <f t="shared" si="2"/>
        <v>2605.029</v>
      </c>
      <c r="G51" s="58">
        <f>(4861+12469+13903+5541+18820+11383+40343+37467+10421+412137+1931+8161+20754+1212789+48814+9834+47582+66812+3945+3307+24556+12177+13536+3052+0+4001+11690+8526+4013+0+2565+2849+79032+196+1+3125+23464+21594+268953+61208+38535+7879+11001+3038+6970+0)/1000</f>
        <v>2603.2350000000001</v>
      </c>
      <c r="H51" s="59">
        <f t="shared" si="1"/>
        <v>0.23474582919657083</v>
      </c>
      <c r="I51" s="60">
        <f>(7459+25293+14525+7086+18599+11518+41000+37467+10515+0+0+0+21866+1117613+47197+9488+21574+8705+3945+3338+24872+12248+13302+3052+0+6002+13155+0+6910+0+15406+502+89688+0+0+3313+7945+14094+232819+4079+38914+8985+13154+3038+2323+0)/1000</f>
        <v>1920.989</v>
      </c>
    </row>
    <row r="52" spans="1:9" x14ac:dyDescent="0.2">
      <c r="A52" s="57" t="s">
        <v>191</v>
      </c>
      <c r="B52" s="58">
        <f>(65471+164786+101963+42410+139803+78260+308813+277073+39112+238599+66775+0+399647+8875948+157763+86309+95412+113285+21329+42211+149226+71014+72310+41366+25463+27641+41982+51733+54898+0+24955+31902+512233+80065+46372+0+78264+396733+1070676+176512+86582+32850+17965+41075+0+0)/1000</f>
        <v>14446.786</v>
      </c>
      <c r="C52" s="58">
        <f>(0+122355+32130+0+898+0+0+0+0+0+0+0+0+0+157763+78387+97608+115752+21329+55312+154436+76845+81239+41503+0+0+0+0+10489+0+4667+45508+10401+7894+59+0+13284+11627+65507+50656+41982+985+538+0+0+0)/1000</f>
        <v>1299.154</v>
      </c>
      <c r="D52" s="58">
        <f>(76113+86399+72779+50132+199426+76455+312493+291715+40837+939281+29967+46618+368442+11970382+0+0+0+203692+0+0+0+0+0+0+0+27641+41984+2007+23775+0+19818+0+519821+0+0+125937+108523+127899+1125449+54877+45480+31861+17411+41075+0+0)/1000</f>
        <v>17078.289000000001</v>
      </c>
      <c r="E52" s="58">
        <f>(0+0+8911+1026+1691+0+67451+0+0+2109491+0+46344+0+0+15745+0+90219+793482+0+0+0+0+0+0+0+0+33982+2298+0+0+0+0+25724+0+0+0+33134+54698+0+788519+0+0+0+0+125645+0)/1000</f>
        <v>4198.3599999999997</v>
      </c>
      <c r="F52" s="58">
        <f t="shared" si="2"/>
        <v>22575.803</v>
      </c>
      <c r="G52" s="58">
        <f>(76113+208754+113820+51158+202015+76455+379943+291715+40837+3048772+29967+92962+378057+11970382+173508+78387+187827+1112926+21329+55312+154436+76845+81239+41503+0+27641+75966+4305+34264+0+24485+45508+555946+7894+59+125937+154942+194224+1190956+894053+87462+32846+17949+41075+94233+0)/1000</f>
        <v>22554.007000000001</v>
      </c>
      <c r="H52" s="59">
        <f t="shared" si="1"/>
        <v>2.0337998970205393</v>
      </c>
      <c r="I52" s="60">
        <f>(116807+423446+117744+65409+239262+78811+380383+292658+41527+0+0+0+398317+11777714+157763+75636+100233+145007+21329+55288+156427+77298+79831+41503+0+41461+85184+0+50407+0+130686+8020+630911+0+0+133525+44250+56240+1134666+218618+88322+37456+21462+41075+31411+0)/1000</f>
        <v>17596.087</v>
      </c>
    </row>
    <row r="53" spans="1:9" x14ac:dyDescent="0.2">
      <c r="A53" s="57" t="s">
        <v>192</v>
      </c>
      <c r="B53" s="58">
        <f>(38822+121556+126222+34816+120039+58681+241300+250340+33915+216892+56769+0+251250+9366486+378988+122698+65799+93857+41883+38045+172001+188699+51556+36169+20238+27174+37787+50501+50734+0+22956+30018+744383+61174+30808+0+139741+379042+770579+784249+384685+27914+24598+37334+0+0)/1000</f>
        <v>15730.698</v>
      </c>
      <c r="C53" s="58">
        <f>(0+90256+39774+0+771+0+0+0+0+0+0+0+0+0+378988+111437+63806+92293+41883+50069+177831+204191+57922+36718+0+0+0+0+10170+0+4838+53011+15091+6032+40+0+24895+11289+67837+225067+186526+837+737+0+0+0)/1000</f>
        <v>1952.309</v>
      </c>
      <c r="D53" s="58">
        <f>(45132+63733+90095+41155+172455+60163+244172+275961+34516+824852+25452+46263+241340+11896480+0+0+0+162411+0+0+0+0+0+0+0+27174+37788+20261+23465+0+20127+0+754251+0+0+96222+195760+144934+762370+243823+202070+27073+23839+37334+0+0)/1000</f>
        <v>16840.670999999998</v>
      </c>
      <c r="E53" s="58">
        <f>(0+0+10152+843+18637+0+52704+0+0+1852501+0+45745+0+0+22766+0+86209+632672+0+0+0+0+0+0+0+0+30586+2136+0+0+0+0+37326+0+0+0+49186+54283+0+1097843+0+0+0+0+114201+0)/1000</f>
        <v>4107.79</v>
      </c>
      <c r="F53" s="58">
        <f t="shared" si="2"/>
        <v>22900.77</v>
      </c>
      <c r="G53" s="58">
        <f>(45132+153989+140021+41998+191863+60163+296876+275961+34516+2677353+25452+92008+247639+11896480+401754+111437+150015+887376+41883+50069+177831+204191+57922+36718+0+27174+68375+22397+33635+0+24965+53011+806668+6032+40+96222+269841+210507+830207+1566733+388596+27910+24576+37334+85651+0)/1000</f>
        <v>22878.521000000001</v>
      </c>
      <c r="H53" s="59">
        <f t="shared" si="1"/>
        <v>2.0630628364078385</v>
      </c>
      <c r="I53" s="60">
        <f>(69262+312359+145758+53696+205088+59642+297220+276193+34552+0+0+0+261935+15860360+378988+107525+64370+115619+41883+49830+180125+205395+56918+36718+0+40761+76240+0+49749+0+132341+9342+915439+0+0+102020+97728+71125+768488+304378+392418+31828+29386+37334+28550+0)/1000</f>
        <v>21900.562999999998</v>
      </c>
    </row>
    <row r="54" spans="1:9" x14ac:dyDescent="0.2">
      <c r="A54" s="57" t="s">
        <v>193</v>
      </c>
      <c r="B54" s="58">
        <f>(28559+54140+34160+13341+21052+29822+82585+101239+14930+86640+16353+0+81736+3500800+109813+27509+31798+37061+8727+8489+74395+69516+56857+8868+3963+43762+8433+14327+21625+0+8621+17094+89207+21112+14875+0+16173+47246+541226+78731+38619+25023+11011+16091+0+0)/1000</f>
        <v>5515.5290000000005</v>
      </c>
      <c r="C54" s="58">
        <f>(0+40199+10764+0+135+0+0+0+0+0+0+0+0+0+109813+24984+31897+37994+8727+10572+75799+75223+63877+8799+0+0+0+0+1589+106494+31+8677+1784+2082+20+0+2257+398+144116+22595+18725+751+330+0+0+0)/1000</f>
        <v>808.63199999999995</v>
      </c>
      <c r="D54" s="58">
        <f>(33201+28386+24383+15770+31039+28065+83575+98771+13709+339032+7059+9052+76804+3843715+0+0+0+66858+0+0+0+0+0+0+0+43762+8433+8406+8589+0+5746+0+89185+0+0+33208+30598+34661+515811+24477+20286+24268+10671+16091+0+0)/1000</f>
        <v>5573.6109999999999</v>
      </c>
      <c r="E54" s="58">
        <f>(0+0+2607+323+636+0+15562+0+0+761418+0+9764+0+0+4618+0+40464+260446+0+0+0+0+0+0+0+0+6826+1072+0+0+0+0+4414+0+0+0+9389+2048+0+21215+0+0+0+0+49221+0)/1000</f>
        <v>1190.0229999999999</v>
      </c>
      <c r="F54" s="58">
        <f t="shared" si="2"/>
        <v>7572.2659999999996</v>
      </c>
      <c r="G54" s="58">
        <f>(33201+68585+37754+16093+31810+28065+99137+98771+13709+1100450+7059+18816+78809+3843715+114431+24984+72361+365298+8727+10572+75799+75223+63877+8799+0+43762+15260+9478+10177+106494+5777+8677+95383+2082+20+33208+42244+37107+659927+68286+39011+25019+11001+16091+36916+0)/1000</f>
        <v>7561.9650000000001</v>
      </c>
      <c r="H54" s="59">
        <f t="shared" si="1"/>
        <v>0.68189761749532674</v>
      </c>
      <c r="I54" s="60">
        <f>(50952+139122+39447+20575+37199+28139+99252+98297+12703+0+0+0+83032+3954746+109813+24107+32810+47596+8727+10659+76776+75667+62770+8799+0+65642+14635+0+18209+0+38063+1529+108245+0+0+35209+12412+21797+515567+5882+39395+28531+13154+16091+12305+0)/1000</f>
        <v>5967.8540000000003</v>
      </c>
    </row>
    <row r="55" spans="1:9" x14ac:dyDescent="0.2">
      <c r="A55" s="57" t="s">
        <v>194</v>
      </c>
      <c r="B55" s="58">
        <f>(42947+128124+79905+29313+62358+65053+226055+205539+31132+174778+46550+0+288112+6430029+312846+92900+106137+82629+24511+29679+152260+63531+57230+28304+9593+16728+27199+20254+43257+0+16884+42653+183977+18756+25339+0+72462+146626+822420+149059+73116+43395+18766+45516+0+0)/1000</f>
        <v>10535.922</v>
      </c>
      <c r="C55" s="58">
        <f>(0+95133+25179+0+400+0+0+0+0+0+0+0+0+0+312846+84374+106252+84575+24511+37165+155133+68747+64296+28327+0+0+0+0+47831+15355+18947+31349+3722+1849+33+0+7985+3197+63495+42778+35452+1302+562+0+0+0)/1000</f>
        <v>1360.7950000000001</v>
      </c>
      <c r="D55" s="58">
        <f>(49928+67177+57035+34650+92257+65064+228756+211805+31008+686056+20833+77492+243733+7176304+0+0+0+148830+0+0+0+0+0+0+0+16728+27201+10995+25580+0+18360+0+186015+0+0+29502+91427+82146+840323+46343+38407+42087+18187+45516+0+0)/1000</f>
        <v>10709.745000000001</v>
      </c>
      <c r="E55" s="58">
        <f>(0+0+6958+709+25742+0+42596+0+0+1540785+0+73876+0+0+14523+0+150636+579766+0+0+0+0+0+0+0+0+22017+1801+0+0+0+0+9205+0+0+0+10546+13976+0+156012+0+0+0+0+139229+0)/1000</f>
        <v>2788.377</v>
      </c>
      <c r="F55" s="58">
        <f t="shared" si="2"/>
        <v>14858.917000000001</v>
      </c>
      <c r="G55" s="58">
        <f>(49928+162310+89172+35359+118399+65064+271352+211805+31008+2226841+20833+151368+250093+7176304+327369+84374+256888+813171+24511+37165+155133+68747+64296+28327+0+16728+49217+12796+73411+15355+37308+31349+198942+1849+33+29502+109959+99319+903818+245132+73859+43389+18749+45516+104422+0)/1000</f>
        <v>14830.47</v>
      </c>
      <c r="H55" s="59">
        <f t="shared" si="1"/>
        <v>1.3373325794731816</v>
      </c>
      <c r="I55" s="60">
        <f>(76622+329237+92272+45209+108044+66287+271666+211988+30180+0+0+0+263496+6732192+312846+81412+109132+105951+24511+37283+157134+69152+63181+28327+0+25092+48711+0+54234+980+121189+5525+225767+0+0+31279+66960+52595+839903+43255+74586+49480+22419+45516+34807+0)/1000</f>
        <v>10958.42</v>
      </c>
    </row>
    <row r="56" spans="1:9" x14ac:dyDescent="0.2">
      <c r="A56" s="57" t="s">
        <v>195</v>
      </c>
      <c r="B56" s="58">
        <f>(2824+9142+8013+3864+8285+11173+34397+40151+10299+32563+4701+0+14133+405846+18429+8270+10008+6666+2815+3201+20939+4243+1299+2829+742+4001+4198+9134+3573+0+3507+0+17429+2345+1613+0+10975+116743+345316+20835+10220+7880+0+3370+0+0)/1000</f>
        <v>1225.971</v>
      </c>
      <c r="C56" s="58">
        <f>(0+6788+2525+0+53+0+0+0+0+0+0+0+0+0+18429+7511+10031+6942+2815+3980+21334+4591+1460+2815+0+0+0+0+3218+0+3513+5986+358+231+2+0+1394+1488+71727+5979+4955+236+330+0+0+0)/1000</f>
        <v>188.691</v>
      </c>
      <c r="D56" s="58">
        <f>(3283+4793+5720+4568+12569+11383+35373+39720+10421+135231+2042+4603+11880+429557+0+0+0+12217+0+0+0+0+0+0+0+4001+4198+7637+1645+0+2616+0+17838+0+0+3689+14757+49978+299561+6478+5368+7643+10671+3370+0+0)/1000</f>
        <v>1162.81</v>
      </c>
      <c r="E56" s="58">
        <f>(0+0+569+94+6821+0+6951+0+0+303709+0+4683+0+0+1545+0+12721+47590+0+0+0+0+0+0+0+0+3398+855+0+0+0+0+882+0+0+0+3090+3449+0+2746+0+0+0+0+10309+0)/1000</f>
        <v>409.41199999999998</v>
      </c>
      <c r="F56" s="58">
        <f t="shared" si="2"/>
        <v>1760.913</v>
      </c>
      <c r="G56" s="58">
        <f>(3283+11581+8814+4662+19443+11383+42324+39720+10421+438940+2042+9286+12190+429557+19974+7511+22752+66749+2815+3980+21334+4591+1460+2815+0+4001+7596+8492+4863+0+6129+5986+19078+231+2+3689+19242+54916+371288+15203+10324+7879+11001+3370+7731+0)/1000</f>
        <v>1758.6479999999999</v>
      </c>
      <c r="H56" s="59">
        <f t="shared" si="1"/>
        <v>0.15858548422439422</v>
      </c>
      <c r="I56" s="60">
        <f>(5038+23492+9253+5959+14370+11518+43013+39720+10515+0+0+0+12843+416644+18429+7247+10316+8697+2815+4019+21609+4619+1435+2815+0+6001+13155+0+3488+0+11840+1055+21649+0+0+3911+8581+34034+299418+761+10425+8985+13154+3370+2577+0)/1000</f>
        <v>1116.77</v>
      </c>
    </row>
    <row r="57" spans="1:9" x14ac:dyDescent="0.2">
      <c r="A57" s="57" t="s">
        <v>196</v>
      </c>
      <c r="B57" s="58">
        <f>(0+0+6817+0+0+932+7141+20008+2808+0+0+0+5103+46141+0+0+309+7417+0+0+4405+0+0+57+43+250+346+2179+0+0+0+799+0+0+0+0+460+9555+13127+3501+1718+8701+8285+648+0+0)/1000</f>
        <v>150.75</v>
      </c>
      <c r="C57" s="58">
        <f>(0+0+2148+0+0+0+0+0+0+0+0+0+0+0+0+0+310+7525+3290+0+4489+0+0+57+0+0+0+0+932+23039+261+522+0+0+0+0+0+80+150+1005+833+261+124+0+0+0)/1000</f>
        <v>45.026000000000003</v>
      </c>
      <c r="D57" s="58">
        <f>(0+0+4866+0+1648+937+6965+20291+2907+0+0+0+5931+85550+0+0+0+12731+0+0+0+0+0+0+0+250+347+1970+352+0+195+0+0+0+0+0+1073+12692+11226+1089+902+8440+4020+648+0+0)/1000</f>
        <v>185.03</v>
      </c>
      <c r="E57" s="58">
        <f>(0+0+404+0+18705+0+1390+0+0+0+0+0+0+0+495+0+372+49607+0+0+0+0+0+0+0+0+281+259+0+0+0+0+0+0+0+0+622+347+0+102+0+0+0+0+1982+0)/1000</f>
        <v>74.566000000000003</v>
      </c>
      <c r="F57" s="58">
        <f t="shared" si="2"/>
        <v>304.62200000000001</v>
      </c>
      <c r="G57" s="58">
        <f>(0+0+7418+0+20353+937+8355+20291+2907+0+0+0+6085+85550+495+0+682+69863+3290+0+4489+0+0+57+0+250+627+2228+1284+23039+456+522+0+0+0+0+0+13119+11376+2196+1735+8701+4144+648+1487+0)/1000</f>
        <v>302.584</v>
      </c>
      <c r="H57" s="59">
        <f t="shared" si="1"/>
        <v>2.7285409108903036E-2</v>
      </c>
      <c r="I57" s="60">
        <f>(0+0+7872+0+0+905+8333+20291+2997+0+0+0+6411+13000+0+0+318+9392+3290+0+4546+0+0+57+0+375+655+0+747+1470+1339+92+0+0+0+0+0+11648+11226+28+1752+9932+4955+648+496+0)/1000</f>
        <v>122.77500000000001</v>
      </c>
    </row>
    <row r="58" spans="1:9" x14ac:dyDescent="0.2">
      <c r="A58" s="57" t="s">
        <v>197</v>
      </c>
      <c r="B58" s="58">
        <f>(5192+10489+9772+273+1832+3134+16877+21679+3885+0+0+0+34036+122816+3454+4261+677+10688+0+0+3704+0+0+276+281+250+1124+2276+3110+0+985+1786+38996+5167+2603+0+4344+42020+14544+0+0+6296+3856+530+0+0)/1000</f>
        <v>381.21300000000002</v>
      </c>
      <c r="C58" s="58">
        <f>(0+7788+3079+0+12+0+0+0+0+0+0+0+0+0+3454+3870+679+10844+7111+0+3774+0+0+276+0+0+0+0+3125+0+1068+2634+765+509+3+0+0+796+3728+0+0+189+116+0+0+0)/1000</f>
        <v>53.82</v>
      </c>
      <c r="D58" s="58">
        <f>(6036+5500+6975+323+2902+3188+16961+21985+3875+0+0+0+29898+129712+0+0+0+18345+0+0+0+0+0+0+0+250+1144+2047+1252+0+795+0+38222+0+0+8127+5501+22679+13908+0+0+6107+3736+530+0+0)/1000</f>
        <v>349.99799999999999</v>
      </c>
      <c r="E58" s="58">
        <f>(0+0+488+7+613+0+3386+0+0+0+0+0+0+0+893+0+817+71480+0+0+0+0+0+0+0+0+926+280+0+0+0+0+1892+0+0+0+3031+3941+0+899+0+0+0+0+1621+0)/1000</f>
        <v>90.274000000000001</v>
      </c>
      <c r="F58" s="58">
        <f t="shared" si="2"/>
        <v>494.09199999999998</v>
      </c>
      <c r="G58" s="58">
        <f>(6036+13288+10542+330+3527+3188+20346+21985+3875+0+0+0+30678+129712+4347+3870+1496+100669+7111+0+3774+0+0+276+0+250+2070+2328+4378+0+1863+2634+40879+509+3+8127+0+27416+17636+899+0+6296+3852+530+1216+0)/1000</f>
        <v>485.93599999999998</v>
      </c>
      <c r="H58" s="59">
        <f t="shared" si="1"/>
        <v>4.3819113240435401E-2</v>
      </c>
      <c r="I58" s="60">
        <f>(9263+26953+11284+421+3421+3222+20413+21985+3854+0+0+0+32322+19200+3454+3735+698+13533+7111+0+3823+0+0+276+0+375+2198+0+2655+0+5471+464+46391+0+0+8617+0+13961+13908+249+0+7186+4607+530+405+0)/1000</f>
        <v>291.98500000000001</v>
      </c>
    </row>
    <row r="59" spans="1:9" x14ac:dyDescent="0.2">
      <c r="A59" s="57" t="s">
        <v>198</v>
      </c>
      <c r="B59" s="58">
        <f>(0+0+4371+0+0+873+5050+12094+1727+0+0+0+11825+39141+0+0+235+5416+0+0+3589+0+0+55+65+250+351+2180+964+0+430+824+3226+0+0+0+2+26210+7237+30+15+4356+12335+231+0+0)/1000</f>
        <v>143.08199999999999</v>
      </c>
      <c r="C59" s="58">
        <f>(0+0+1377+0+0+0+0+0+0+0+0+0+0+0+0+0+236+5495+2402+0+3657+0+0+55+0+0+0+0+961+243946+466+539+51+0+0+0+0+843+705+9+7+121+97+0+0+0)/1000</f>
        <v>260.96699999999998</v>
      </c>
      <c r="D59" s="58">
        <f>(0+0+3120+0+0+884+5288+12265+1794+0+0+0+16786+65725+0+0+0+9296+0+0+0+0+0+0+0+250+355+1973+385+0+347+0+2548+0+0+0+1263+12095+6417+9+8+3923+3147+231+0+0)/1000</f>
        <v>148.10900000000001</v>
      </c>
      <c r="E59" s="58">
        <f>(0+0+272+0+0+0+1056+0+0+0+0+0+0+0+486+0+284+36220+0+0+0+0+0+0+0+0+287+259+0+0+0+0+126+0+0+0+725+2273+0+87+0+0+0+0+707+0)/1000</f>
        <v>42.781999999999996</v>
      </c>
      <c r="F59" s="58">
        <f t="shared" si="2"/>
        <v>451.858</v>
      </c>
      <c r="G59" s="58">
        <f>(0+0+4769+0+0+884+6344+12265+1794+0+0+0+17224+65725+486+0+520+51011+2402+0+3657+0+0+55+0+250+642+2232+1347+243946+812+539+2725+0+0+0+0+15211+7122+105+15+4044+3244+231+530+0)/1000</f>
        <v>450.13099999999997</v>
      </c>
      <c r="H59" s="59">
        <f t="shared" si="1"/>
        <v>4.0590409564285064E-2</v>
      </c>
      <c r="I59" s="60">
        <f>(0+0+5048+0+0+895+6327+12265+1857+0+0+0+18147+7200+0+0+242+6857+2402+0+3704+0+0+55+0+375+676+0+817+26603+2386+95+3093+0+0+0+0+6275+6417+24+15+4616+3879+231+177+0)/1000</f>
        <v>120.678</v>
      </c>
    </row>
    <row r="60" spans="1:9" x14ac:dyDescent="0.2">
      <c r="A60" s="57" t="s">
        <v>199</v>
      </c>
      <c r="B60" s="58">
        <f>(9889+45423+192603+9836+0+44664+132433+391343+56121+349113+47812+0+192824+2516888+71326+22717+16804+49537+0+0+323185+50369+1231+8274+23380+12025+22520+13834+29210+1700000+8517+42482+230538+297001+155871+0+19165+99624+225409+129692+63616+41660+11004+40718+0+0)/1000</f>
        <v>7698.6580000000004</v>
      </c>
      <c r="C60" s="58">
        <f>(0+33727+60691+0+0+0+0+0+0+0+0+0+0+0+71326+20632+16854+44720+58465+0+330687+54504+1383+8292+0+0+0+0+31338+15083920+14464+23412+4691+29284+201+0+1982+1732+178673+37220+30846+628+330+0+0+0)/1000</f>
        <v>16140.002</v>
      </c>
      <c r="D60" s="58">
        <f>(11496+23816+137476+11627+1780+68470+134008+412451+55601+1320626+21830+104161+85074+2952606+0+0+0+78696+0+0+0+0+0+0+0+12025+22466+9305+22748+0+16440+0+234429+0+0+467161+45442+43672+149494+40321+33417+20305+10671+40718+0+0)/1000</f>
        <v>6588.3320000000003</v>
      </c>
      <c r="E60" s="58">
        <f>(0+0+8481+238+0+0+28925+0+0+2965939+0+104193+0+0+18450+0+20269+306559+0+0+0+0+0+0+0+0+18183+1325+0+0+0+0+11601+0+0+0+17212+11956+0+118687+0+0+0+0+124553+0)/1000</f>
        <v>3756.5709999999999</v>
      </c>
      <c r="F60" s="58">
        <f t="shared" si="2"/>
        <v>26484.905000000002</v>
      </c>
      <c r="G60" s="58">
        <f>(11496+57543+206648+11865+1780+68470+162933+412451+55601+4286565+21830+208354+87294+2952606+89776+20632+37123+429975+58465+0+330687+54504+1383+8292+0+12025+40649+10630+54085+15083920+30904+23412+250721+29284+201+467161+47424+57360+328167+196228+64263+20933+11001+40718+93414+0)/1000</f>
        <v>26438.773000000001</v>
      </c>
      <c r="H60" s="59">
        <f t="shared" si="1"/>
        <v>2.3841073475214145</v>
      </c>
      <c r="I60" s="60">
        <f>(17643+116722+222413+15170+2136+68517+163121+417469+53433+0+0+0+91972+392500+71326+19907+17316+56023+58465+0+334952+54825+1359+8292+0+18038+42358+0+48228+1968771+109581+4126+284528+0+0+495309+13954+15306+318286+32906+64895+23871+13154+40718+31138+0)/1000</f>
        <v>5708.7280000000001</v>
      </c>
    </row>
    <row r="61" spans="1:9" x14ac:dyDescent="0.2">
      <c r="A61" s="57" t="s">
        <v>200</v>
      </c>
      <c r="B61" s="58">
        <f>(0+0+0+0+0+0+6579+1000+0+0+0+0+0+0+0+0+0+0+0+0+0+0+0+0+50+250+1345+50+0+0+0+0+0+0+0+0+424+21450+0+0+0+0+0+0+0+0)/1000</f>
        <v>31.148</v>
      </c>
      <c r="C61" s="58">
        <f>(0+0+0+0+0+0+0+0+0+0+0+0+0+0+0+0+0+0+0+0+0+0+0+0+0+0+0+0+0+0+0+0+0+0+0+0+0+78+0+0+0+0+0+0+0+0)/1000</f>
        <v>7.8E-2</v>
      </c>
      <c r="D61" s="58">
        <f>(0+0+0+0+0+0+6579+1000+0+0+0+0+0+0+0+0+0+0+0+0+0+0+0+0+0+250+1370+100+0+0+0+0+0+0+0+0+2143+7713+2034+0+0+0+0+0+0+0)/1000</f>
        <v>21.189</v>
      </c>
      <c r="E61" s="58">
        <f>(0+0+0+0+0+0+0+0+0+0+0+0+0+0+0+0+0+0+0+0+0+0+0+0+0+0+1108+0+0+0+0+0+0+0+0+0+1242+0+0+0+0+0+0+0+0+0)/1000</f>
        <v>2.35</v>
      </c>
      <c r="F61" s="58">
        <f t="shared" si="2"/>
        <v>23.617000000000001</v>
      </c>
      <c r="G61" s="58">
        <f>(0+0+0+0+0+0+6579+1000+0+0+0+0+0+0+0+0+0+0+0+0+0+0+0+0+0+250+2478+100+0+0+0+0+0+0+0+0+0+7792+2034+0+0+0+0+0+0+0)/1000</f>
        <v>20.233000000000001</v>
      </c>
      <c r="H61" s="59" t="str">
        <f t="shared" si="1"/>
        <v>*</v>
      </c>
      <c r="I61" s="60">
        <f>(0+0+0+0+0+0+6579+1000+0+0+0+0+0+0+0+0+0+0+0+0+0+0+0+0+0+375+2634+0+0+0+0+0+0+0+0+0+0+7718+2034+0+0+0+0+0+0+0)/1000</f>
        <v>20.34</v>
      </c>
    </row>
    <row r="62" spans="1:9" x14ac:dyDescent="0.2">
      <c r="A62" s="57" t="s">
        <v>201</v>
      </c>
      <c r="B62" s="58">
        <f>(470+2243+5675+649+3648+2143+8945+10438+2186+0+0+0+11562+77805+2837+4411+640+5610+0+0+10870+0+0+276+977+250+721+3056+1983+779217+844+0+17228+22439+10396+0+1494+48016+10826+0+0+9900+5262+1831+0+0)/1000</f>
        <v>1064.848</v>
      </c>
      <c r="C62" s="58">
        <f>(0+1665+1788+0+23+0+0+0+0+0+0+0+0+0+2837+4006+642+5692+3732+0+11075+0+0+276+0+0+0+0+1982+827777+915+2789+358+2212+14+0+19+1452+14388+0+0+152+158+0+0+0)/1000</f>
        <v>883.952</v>
      </c>
      <c r="D62" s="58">
        <f>(546+1176+4051+767+5390+2169+8798+10586+2086+0+0+0+9429+103706+0+0+0+9629+0+0+0+0+0+0+0+250+729+20405+790+0+681+0+17838+0+0+35295+7072+8845+8839+0+0+4899+5103+1831+0+0)/1000</f>
        <v>270.91000000000003</v>
      </c>
      <c r="E62" s="58">
        <f>(0+0+228+16+0+0+1756+0+0+0+0+0+0+0+734+0+772+37518+0+0+0+0+0+0+0+0+590+269+0+0+0+0+882+0+0+0+2931+1730+0+2073+0+0+0+0+5601+0)/1000</f>
        <v>55.1</v>
      </c>
      <c r="F62" s="58">
        <f t="shared" si="2"/>
        <v>1209.962</v>
      </c>
      <c r="G62" s="58">
        <f>(546+2841+6067+783+5413+2169+10555+10586+2086+0+0+0+9675+103706+3571+4006+1414+52839+3732+0+11075+0+0+276+0+250+1320+20674+2772+827777+1597+2789+19078+2212+14+35295+7090+12028+23227+2073+0+5050+5261+1831+4201+0)/1000</f>
        <v>1205.8789999999999</v>
      </c>
      <c r="H62" s="59">
        <f t="shared" si="1"/>
        <v>0.10873972797912276</v>
      </c>
      <c r="I62" s="60">
        <f>(839+5764+6553+1001+6471+2182+10527+10586+1981+0+0+0+10194+19600+2837+3865+660+7103+3732+0+11218+0+0+276+0+375+1394+0+1675+67653+4688+491+21649+0+0+37421+1860+4956+18947+575+0+5765+6290+1831+1400+0)/1000</f>
        <v>282.35899999999998</v>
      </c>
    </row>
    <row r="63" spans="1:9" x14ac:dyDescent="0.2">
      <c r="A63" s="57" t="s">
        <v>202</v>
      </c>
      <c r="B63" s="58">
        <f>(0+0+67173+0+0+45250+99028+114134+10606+0+0+0+0+0+207998+56314+42801+334995+58340+0+313361+9730+444+0+0+0+594+0+64070+0+0+0+0+0+0+0+0+0+0+0+0+17396+12550+3025+0+0)/1000</f>
        <v>1457.809</v>
      </c>
      <c r="C63" s="58">
        <f>(0+0+21167+0+0+0+0+0+0+0+0+0+0+0+207982+54293+42630+339883+100000+0+316684+7722+160+0+0+0+0+0+930+0+0+0+0+0+0+0+0+0+0+0+0+983+676+0+0+0)/1000</f>
        <v>1093.1099999999999</v>
      </c>
      <c r="D63" s="58">
        <f>(0+0+47947+0+0+50650+100006+115723+10662+0+0+0+0+0+0+0+0+275000+0+0+0+0+0+0+0+0+594+0+0+0+0+0+0+0+0+0+0+228+57227+0+0+31794+21846+3025+0+0)/1000</f>
        <v>714.702</v>
      </c>
      <c r="E63" s="58">
        <f>(0+0+3762+0+0+0+0+0+0+0+0+0+0+0+53791+0+48296+1168950+0+0+0+0+0+0+0+0+481+0+0+0+0+0+0+0+0+0+0+0+0+0+0+0+0+0+9253+0)/1000</f>
        <v>1284.5329999999999</v>
      </c>
      <c r="F63" s="58">
        <f t="shared" si="2"/>
        <v>3092.3449999999998</v>
      </c>
      <c r="G63" s="58">
        <f>(0+0+72876+0+0+50650+100006+115723+10662+0+0+0+0+0+261773+54293+90926+1783833+100000+0+316684+7722+160+0+0+0+1075+0+930+0+0+0+0+0+0+0+0+228+57227+0+0+32777+22522+3025+6940+0)/1000</f>
        <v>3090.0320000000002</v>
      </c>
      <c r="H63" s="59">
        <f t="shared" si="1"/>
        <v>0.2786425828186615</v>
      </c>
      <c r="I63" s="60">
        <f>(0+0+77570+0+0+51803+100134+115723+10689+0+0+0+0+0+207982+54293+43628+398640+100000+0+320768+7804+160+0+0+0+1194+0+0+0+0+0+0+0+0+0+0+0+57227+0+0+37414+27159+3025+2313+0)/1000</f>
        <v>1617.5260000000001</v>
      </c>
    </row>
    <row r="64" spans="1:9" ht="38.25" customHeight="1" x14ac:dyDescent="0.2">
      <c r="A64" s="48" t="s">
        <v>661</v>
      </c>
      <c r="B64" s="66">
        <v>764630</v>
      </c>
      <c r="C64" s="66">
        <v>112051</v>
      </c>
      <c r="D64" s="66">
        <v>785458</v>
      </c>
      <c r="E64" s="66">
        <v>213147</v>
      </c>
      <c r="F64" s="66">
        <v>1110656</v>
      </c>
      <c r="G64" s="66">
        <v>1108959</v>
      </c>
      <c r="H64" s="65">
        <v>100</v>
      </c>
      <c r="I64" s="66">
        <v>806808</v>
      </c>
    </row>
    <row r="65" spans="1:9" x14ac:dyDescent="0.2">
      <c r="A65" s="49" t="s">
        <v>662</v>
      </c>
      <c r="B65" s="58"/>
      <c r="C65" s="58"/>
      <c r="D65" s="58"/>
      <c r="E65" s="58"/>
      <c r="F65" s="58"/>
      <c r="G65" s="58"/>
      <c r="H65" s="58"/>
      <c r="I65" s="58"/>
    </row>
    <row r="66" spans="1:9" ht="27.75" x14ac:dyDescent="0.2">
      <c r="A66" s="61" t="s">
        <v>663</v>
      </c>
      <c r="B66" s="58">
        <f>(-214618+-669163+8791+-128359+921850+0+10000+5000+10659+0+0+0+0+53915884+0+0+0+0+0+0+0+0+0+0+0+0+0+0+0+0+0+0+0+0+0+0+0+0+0+0+77331+0+0+0+0+0)/1000</f>
        <v>53937.375</v>
      </c>
      <c r="C66" s="58">
        <f>(0+0+0+0+0+130110+0+0+0+0+0+0+0+0+0+0+0+0+0+0+0+0+0+0+0+0+0+754733+0+0+0+0+364243+0+5991+0+0+0+576797+0+37440+0+0+0+0+0)/1000</f>
        <v>1869.3140000000001</v>
      </c>
      <c r="D66" s="58">
        <f>(0+0+0+0+50000+0+15000+5000+10715+0+0+0+0+25680003+0+0+0+0+0+0+0+0+0+0+1315005+0+0+0+0+0+0+0+359733+0+0+119000+0+0+8289052+0+40560+0+0+0+0+0)/1000</f>
        <v>35884.067999999999</v>
      </c>
      <c r="E66" s="58">
        <f>(0+0+19+0+0+0+10000+0+0+0+0+0+460000+9959104+0+0+0+0+0+0+0+0+0+0+0+0+0+0+0+0+0+0+0+0+0+0+0+0+0+0+0+0+0+0+0+0)/1000</f>
        <v>10429.123</v>
      </c>
      <c r="F66" s="58">
        <f>SUM(C66:E66)</f>
        <v>48182.504999999997</v>
      </c>
      <c r="G66" s="58">
        <f>(0+0+19+0+50000+0+25000+5000+10715+0+0+0+-2019335+35639107+0+0+0+0+0+0+0+0+0+0+1315005+0+0+0+0+5476+0+0+723976+0+5991+119000+0+0+8865849+0+78000+0+0+0+0+0)/1000</f>
        <v>44823.803</v>
      </c>
      <c r="H66" s="58" t="s">
        <v>664</v>
      </c>
      <c r="I66" s="58">
        <f>(0+0+0+0+0+0+20000+5000+10743+0+0+0+-2783058+101388062+0+0+0+0+0+0+0+0+0+0+1345005+0+0+0+0+3652+0+0+0+0+0+151000+0+0+8426208+0+81000+0+0+0+0+0)/1000</f>
        <v>108647.61199999999</v>
      </c>
    </row>
    <row r="67" spans="1:9" x14ac:dyDescent="0.2">
      <c r="A67" s="62" t="s">
        <v>665</v>
      </c>
      <c r="B67" s="63">
        <f t="shared" ref="B67:G67" si="3">SUM(B64:B66)</f>
        <v>818567.375</v>
      </c>
      <c r="C67" s="63">
        <f t="shared" si="3"/>
        <v>113920.314</v>
      </c>
      <c r="D67" s="63">
        <f t="shared" si="3"/>
        <v>821342.06799999997</v>
      </c>
      <c r="E67" s="63">
        <f t="shared" si="3"/>
        <v>223576.12299999999</v>
      </c>
      <c r="F67" s="63">
        <f t="shared" si="3"/>
        <v>1158838.5049999999</v>
      </c>
      <c r="G67" s="63">
        <f t="shared" si="3"/>
        <v>1153782.8030000001</v>
      </c>
      <c r="H67" s="63" t="s">
        <v>664</v>
      </c>
      <c r="I67" s="64">
        <f>SUM(I64:I66)</f>
        <v>915455.61199999996</v>
      </c>
    </row>
    <row r="68" spans="1:9" x14ac:dyDescent="0.2">
      <c r="A68" s="85" t="s">
        <v>205</v>
      </c>
      <c r="B68" s="85"/>
      <c r="C68" s="85"/>
      <c r="D68" s="85"/>
      <c r="E68" s="85"/>
      <c r="F68" s="85"/>
      <c r="G68" s="85"/>
      <c r="H68" s="85"/>
      <c r="I68" s="85"/>
    </row>
    <row r="69" spans="1:9" ht="15" x14ac:dyDescent="0.2">
      <c r="A69" s="86" t="s">
        <v>681</v>
      </c>
      <c r="B69" s="86"/>
      <c r="C69" s="86"/>
      <c r="D69" s="86"/>
      <c r="E69" s="86"/>
      <c r="F69" s="86"/>
      <c r="G69" s="86"/>
      <c r="H69" s="86"/>
      <c r="I69" s="86"/>
    </row>
    <row r="70" spans="1:9" x14ac:dyDescent="0.2">
      <c r="A70" s="50"/>
      <c r="B70" s="50"/>
      <c r="C70" s="50"/>
      <c r="D70" s="50"/>
      <c r="E70" s="50"/>
      <c r="F70" s="50"/>
      <c r="G70" s="50"/>
      <c r="H70" s="50"/>
      <c r="I70" s="50"/>
    </row>
    <row r="72" spans="1:9" x14ac:dyDescent="0.2">
      <c r="B72" s="67"/>
      <c r="C72" s="67"/>
      <c r="D72" s="67"/>
      <c r="E72" s="67"/>
      <c r="F72" s="67"/>
      <c r="G72" s="67"/>
      <c r="H72" s="67"/>
      <c r="I72" s="67"/>
    </row>
    <row r="73" spans="1:9" x14ac:dyDescent="0.2">
      <c r="B73" s="68"/>
      <c r="C73" s="68"/>
      <c r="D73" s="68"/>
      <c r="E73" s="68"/>
      <c r="F73" s="68"/>
      <c r="G73" s="68"/>
      <c r="H73" s="68"/>
      <c r="I73" s="68"/>
    </row>
  </sheetData>
  <mergeCells count="11">
    <mergeCell ref="A68:I68"/>
    <mergeCell ref="A69:I69"/>
    <mergeCell ref="A1:I1"/>
    <mergeCell ref="A2:I2"/>
    <mergeCell ref="A3:A5"/>
    <mergeCell ref="B3:B5"/>
    <mergeCell ref="C3:G3"/>
    <mergeCell ref="H3:H5"/>
    <mergeCell ref="I3:I5"/>
    <mergeCell ref="C4:F4"/>
    <mergeCell ref="G4:G5"/>
  </mergeCells>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pageSetUpPr fitToPage="1"/>
  </sheetPr>
  <dimension ref="A1:G68"/>
  <sheetViews>
    <sheetView workbookViewId="0"/>
  </sheetViews>
  <sheetFormatPr defaultRowHeight="12.75" x14ac:dyDescent="0.2"/>
  <cols>
    <col min="1" max="1" width="30.7109375" customWidth="1"/>
    <col min="2" max="7" width="11.7109375" customWidth="1"/>
  </cols>
  <sheetData>
    <row r="1" spans="1:7" ht="38.25" customHeight="1" x14ac:dyDescent="0.2">
      <c r="A1" s="15" t="s">
        <v>242</v>
      </c>
      <c r="B1" s="16"/>
      <c r="C1" s="16"/>
      <c r="D1" s="16"/>
      <c r="E1" s="16"/>
      <c r="F1" s="16"/>
      <c r="G1" s="15" t="s">
        <v>676</v>
      </c>
    </row>
    <row r="2" spans="1:7" x14ac:dyDescent="0.2">
      <c r="A2" s="17" t="s">
        <v>357</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0</v>
      </c>
      <c r="C6" s="20">
        <v>0</v>
      </c>
      <c r="D6" s="20">
        <v>222174</v>
      </c>
      <c r="E6" s="20">
        <v>0</v>
      </c>
      <c r="F6" s="20">
        <v>222174</v>
      </c>
      <c r="G6" s="43">
        <v>235561</v>
      </c>
    </row>
    <row r="7" spans="1:7" x14ac:dyDescent="0.2">
      <c r="A7" s="42" t="s">
        <v>146</v>
      </c>
      <c r="B7" s="20">
        <v>0</v>
      </c>
      <c r="C7" s="20">
        <v>0</v>
      </c>
      <c r="D7" s="20">
        <v>15020</v>
      </c>
      <c r="E7" s="20">
        <v>0</v>
      </c>
      <c r="F7" s="20">
        <v>15020</v>
      </c>
      <c r="G7" s="43">
        <v>15925</v>
      </c>
    </row>
    <row r="8" spans="1:7" x14ac:dyDescent="0.2">
      <c r="A8" s="42" t="s">
        <v>147</v>
      </c>
      <c r="B8" s="20">
        <v>0</v>
      </c>
      <c r="C8" s="20">
        <v>0</v>
      </c>
      <c r="D8" s="20">
        <v>32003</v>
      </c>
      <c r="E8" s="20">
        <v>0</v>
      </c>
      <c r="F8" s="20">
        <v>32003</v>
      </c>
      <c r="G8" s="43">
        <v>33932</v>
      </c>
    </row>
    <row r="9" spans="1:7" x14ac:dyDescent="0.2">
      <c r="A9" s="42" t="s">
        <v>148</v>
      </c>
      <c r="B9" s="20">
        <v>0</v>
      </c>
      <c r="C9" s="20">
        <v>0</v>
      </c>
      <c r="D9" s="20">
        <v>51946</v>
      </c>
      <c r="E9" s="20">
        <v>0</v>
      </c>
      <c r="F9" s="20">
        <v>51946</v>
      </c>
      <c r="G9" s="43">
        <v>55076</v>
      </c>
    </row>
    <row r="10" spans="1:7" x14ac:dyDescent="0.2">
      <c r="A10" s="42" t="s">
        <v>149</v>
      </c>
      <c r="B10" s="20">
        <v>0</v>
      </c>
      <c r="C10" s="20">
        <v>0</v>
      </c>
      <c r="D10" s="20">
        <v>177944</v>
      </c>
      <c r="E10" s="20">
        <v>0</v>
      </c>
      <c r="F10" s="20">
        <v>177944</v>
      </c>
      <c r="G10" s="43">
        <v>188665</v>
      </c>
    </row>
    <row r="11" spans="1:7" x14ac:dyDescent="0.2">
      <c r="A11" s="42" t="s">
        <v>150</v>
      </c>
      <c r="B11" s="20">
        <v>0</v>
      </c>
      <c r="C11" s="20">
        <v>0</v>
      </c>
      <c r="D11" s="20">
        <v>48980</v>
      </c>
      <c r="E11" s="20">
        <v>0</v>
      </c>
      <c r="F11" s="20">
        <v>48980</v>
      </c>
      <c r="G11" s="43">
        <v>51931</v>
      </c>
    </row>
    <row r="12" spans="1:7" x14ac:dyDescent="0.2">
      <c r="A12" s="42" t="s">
        <v>151</v>
      </c>
      <c r="B12" s="20">
        <v>0</v>
      </c>
      <c r="C12" s="20">
        <v>0</v>
      </c>
      <c r="D12" s="20">
        <v>118762</v>
      </c>
      <c r="E12" s="20">
        <v>0</v>
      </c>
      <c r="F12" s="20">
        <v>118762</v>
      </c>
      <c r="G12" s="43">
        <v>125918</v>
      </c>
    </row>
    <row r="13" spans="1:7" x14ac:dyDescent="0.2">
      <c r="A13" s="42" t="s">
        <v>152</v>
      </c>
      <c r="B13" s="20">
        <v>0</v>
      </c>
      <c r="C13" s="20">
        <v>0</v>
      </c>
      <c r="D13" s="20">
        <v>20704</v>
      </c>
      <c r="E13" s="20">
        <v>0</v>
      </c>
      <c r="F13" s="20">
        <v>20704</v>
      </c>
      <c r="G13" s="43">
        <v>21952</v>
      </c>
    </row>
    <row r="14" spans="1:7" x14ac:dyDescent="0.2">
      <c r="A14" s="42" t="s">
        <v>153</v>
      </c>
      <c r="B14" s="20">
        <v>0</v>
      </c>
      <c r="C14" s="20">
        <v>0</v>
      </c>
      <c r="D14" s="20">
        <v>99723</v>
      </c>
      <c r="E14" s="20">
        <v>0</v>
      </c>
      <c r="F14" s="20">
        <v>99723</v>
      </c>
      <c r="G14" s="43">
        <v>105731</v>
      </c>
    </row>
    <row r="15" spans="1:7" x14ac:dyDescent="0.2">
      <c r="A15" s="42" t="s">
        <v>154</v>
      </c>
      <c r="B15" s="20">
        <v>0</v>
      </c>
      <c r="C15" s="20">
        <v>0</v>
      </c>
      <c r="D15" s="20">
        <v>210087</v>
      </c>
      <c r="E15" s="20">
        <v>0</v>
      </c>
      <c r="F15" s="20">
        <v>210087</v>
      </c>
      <c r="G15" s="43">
        <v>222746</v>
      </c>
    </row>
    <row r="16" spans="1:7" x14ac:dyDescent="0.2">
      <c r="A16" s="42" t="s">
        <v>155</v>
      </c>
      <c r="B16" s="20">
        <v>0</v>
      </c>
      <c r="C16" s="20">
        <v>0</v>
      </c>
      <c r="D16" s="20">
        <v>189094</v>
      </c>
      <c r="E16" s="20">
        <v>0</v>
      </c>
      <c r="F16" s="20">
        <v>189094</v>
      </c>
      <c r="G16" s="43">
        <v>200488</v>
      </c>
    </row>
    <row r="17" spans="1:7" x14ac:dyDescent="0.2">
      <c r="A17" s="42" t="s">
        <v>156</v>
      </c>
      <c r="B17" s="20">
        <v>0</v>
      </c>
      <c r="C17" s="20">
        <v>0</v>
      </c>
      <c r="D17" s="20">
        <v>45029</v>
      </c>
      <c r="E17" s="20">
        <v>0</v>
      </c>
      <c r="F17" s="20">
        <v>45029</v>
      </c>
      <c r="G17" s="43">
        <v>47742</v>
      </c>
    </row>
    <row r="18" spans="1:7" x14ac:dyDescent="0.2">
      <c r="A18" s="42" t="s">
        <v>157</v>
      </c>
      <c r="B18" s="20">
        <v>0</v>
      </c>
      <c r="C18" s="20">
        <v>0</v>
      </c>
      <c r="D18" s="20">
        <v>2229</v>
      </c>
      <c r="E18" s="20">
        <v>0</v>
      </c>
      <c r="F18" s="20">
        <v>2229</v>
      </c>
      <c r="G18" s="43">
        <v>2363</v>
      </c>
    </row>
    <row r="19" spans="1:7" x14ac:dyDescent="0.2">
      <c r="A19" s="42" t="s">
        <v>158</v>
      </c>
      <c r="B19" s="20">
        <v>0</v>
      </c>
      <c r="C19" s="20">
        <v>0</v>
      </c>
      <c r="D19" s="20">
        <v>417740</v>
      </c>
      <c r="E19" s="20">
        <v>0</v>
      </c>
      <c r="F19" s="20">
        <v>417740</v>
      </c>
      <c r="G19" s="43">
        <v>442911</v>
      </c>
    </row>
    <row r="20" spans="1:7" x14ac:dyDescent="0.2">
      <c r="A20" s="42" t="s">
        <v>159</v>
      </c>
      <c r="B20" s="20">
        <v>0</v>
      </c>
      <c r="C20" s="20">
        <v>0</v>
      </c>
      <c r="D20" s="20">
        <v>68851</v>
      </c>
      <c r="E20" s="20">
        <v>0</v>
      </c>
      <c r="F20" s="20">
        <v>68851</v>
      </c>
      <c r="G20" s="43">
        <v>72999</v>
      </c>
    </row>
    <row r="21" spans="1:7" x14ac:dyDescent="0.2">
      <c r="A21" s="42" t="s">
        <v>160</v>
      </c>
      <c r="B21" s="20">
        <v>0</v>
      </c>
      <c r="C21" s="20">
        <v>0</v>
      </c>
      <c r="D21" s="20">
        <v>13466</v>
      </c>
      <c r="E21" s="20">
        <v>0</v>
      </c>
      <c r="F21" s="20">
        <v>13466</v>
      </c>
      <c r="G21" s="43">
        <v>14277</v>
      </c>
    </row>
    <row r="22" spans="1:7" x14ac:dyDescent="0.2">
      <c r="A22" s="42" t="s">
        <v>161</v>
      </c>
      <c r="B22" s="20">
        <v>0</v>
      </c>
      <c r="C22" s="20">
        <v>0</v>
      </c>
      <c r="D22" s="20">
        <v>40246</v>
      </c>
      <c r="E22" s="20">
        <v>0</v>
      </c>
      <c r="F22" s="20">
        <v>40246</v>
      </c>
      <c r="G22" s="43">
        <v>42671</v>
      </c>
    </row>
    <row r="23" spans="1:7" x14ac:dyDescent="0.2">
      <c r="A23" s="42" t="s">
        <v>162</v>
      </c>
      <c r="B23" s="20">
        <v>0</v>
      </c>
      <c r="C23" s="20">
        <v>0</v>
      </c>
      <c r="D23" s="20">
        <v>106348</v>
      </c>
      <c r="E23" s="20">
        <v>0</v>
      </c>
      <c r="F23" s="20">
        <v>106348</v>
      </c>
      <c r="G23" s="43">
        <v>112756</v>
      </c>
    </row>
    <row r="24" spans="1:7" x14ac:dyDescent="0.2">
      <c r="A24" s="42" t="s">
        <v>163</v>
      </c>
      <c r="B24" s="20">
        <v>0</v>
      </c>
      <c r="C24" s="20">
        <v>0</v>
      </c>
      <c r="D24" s="20">
        <v>99929</v>
      </c>
      <c r="E24" s="20">
        <v>0</v>
      </c>
      <c r="F24" s="20">
        <v>99929</v>
      </c>
      <c r="G24" s="43">
        <v>105950</v>
      </c>
    </row>
    <row r="25" spans="1:7" x14ac:dyDescent="0.2">
      <c r="A25" s="42" t="s">
        <v>164</v>
      </c>
      <c r="B25" s="20">
        <v>0</v>
      </c>
      <c r="C25" s="20">
        <v>0</v>
      </c>
      <c r="D25" s="20">
        <v>26815</v>
      </c>
      <c r="E25" s="20">
        <v>0</v>
      </c>
      <c r="F25" s="20">
        <v>26815</v>
      </c>
      <c r="G25" s="43">
        <v>28431</v>
      </c>
    </row>
    <row r="26" spans="1:7" x14ac:dyDescent="0.2">
      <c r="A26" s="42" t="s">
        <v>165</v>
      </c>
      <c r="B26" s="20">
        <v>0</v>
      </c>
      <c r="C26" s="20">
        <v>0</v>
      </c>
      <c r="D26" s="20">
        <v>147523</v>
      </c>
      <c r="E26" s="20">
        <v>0</v>
      </c>
      <c r="F26" s="20">
        <v>147523</v>
      </c>
      <c r="G26" s="43">
        <v>156412</v>
      </c>
    </row>
    <row r="27" spans="1:7" x14ac:dyDescent="0.2">
      <c r="A27" s="42" t="s">
        <v>166</v>
      </c>
      <c r="B27" s="20">
        <v>0</v>
      </c>
      <c r="C27" s="20">
        <v>0</v>
      </c>
      <c r="D27" s="20">
        <v>290474</v>
      </c>
      <c r="E27" s="20">
        <v>0</v>
      </c>
      <c r="F27" s="20">
        <v>290474</v>
      </c>
      <c r="G27" s="43">
        <v>307976</v>
      </c>
    </row>
    <row r="28" spans="1:7" x14ac:dyDescent="0.2">
      <c r="A28" s="42" t="s">
        <v>167</v>
      </c>
      <c r="B28" s="20">
        <v>0</v>
      </c>
      <c r="C28" s="20">
        <v>0</v>
      </c>
      <c r="D28" s="20">
        <v>119776</v>
      </c>
      <c r="E28" s="20">
        <v>0</v>
      </c>
      <c r="F28" s="20">
        <v>119776</v>
      </c>
      <c r="G28" s="43">
        <v>126993</v>
      </c>
    </row>
    <row r="29" spans="1:7" x14ac:dyDescent="0.2">
      <c r="A29" s="42" t="s">
        <v>168</v>
      </c>
      <c r="B29" s="20">
        <v>0</v>
      </c>
      <c r="C29" s="20">
        <v>0</v>
      </c>
      <c r="D29" s="20">
        <v>89412</v>
      </c>
      <c r="E29" s="20">
        <v>0</v>
      </c>
      <c r="F29" s="20">
        <v>89412</v>
      </c>
      <c r="G29" s="43">
        <v>94800</v>
      </c>
    </row>
    <row r="30" spans="1:7" x14ac:dyDescent="0.2">
      <c r="A30" s="42" t="s">
        <v>169</v>
      </c>
      <c r="B30" s="20">
        <v>0</v>
      </c>
      <c r="C30" s="20">
        <v>0</v>
      </c>
      <c r="D30" s="20">
        <v>43473</v>
      </c>
      <c r="E30" s="20">
        <v>0</v>
      </c>
      <c r="F30" s="20">
        <v>43473</v>
      </c>
      <c r="G30" s="43">
        <v>46092</v>
      </c>
    </row>
    <row r="31" spans="1:7" x14ac:dyDescent="0.2">
      <c r="A31" s="42" t="s">
        <v>170</v>
      </c>
      <c r="B31" s="20">
        <v>0</v>
      </c>
      <c r="C31" s="20">
        <v>0</v>
      </c>
      <c r="D31" s="20">
        <v>81113</v>
      </c>
      <c r="E31" s="20">
        <v>0</v>
      </c>
      <c r="F31" s="20">
        <v>81113</v>
      </c>
      <c r="G31" s="43">
        <v>86000</v>
      </c>
    </row>
    <row r="32" spans="1:7" x14ac:dyDescent="0.2">
      <c r="A32" s="42" t="s">
        <v>171</v>
      </c>
      <c r="B32" s="20">
        <v>0</v>
      </c>
      <c r="C32" s="20">
        <v>0</v>
      </c>
      <c r="D32" s="20">
        <v>10316</v>
      </c>
      <c r="E32" s="20">
        <v>0</v>
      </c>
      <c r="F32" s="20">
        <v>10316</v>
      </c>
      <c r="G32" s="43">
        <v>10938</v>
      </c>
    </row>
    <row r="33" spans="1:7" x14ac:dyDescent="0.2">
      <c r="A33" s="42" t="s">
        <v>172</v>
      </c>
      <c r="B33" s="20">
        <v>0</v>
      </c>
      <c r="C33" s="20">
        <v>0</v>
      </c>
      <c r="D33" s="20">
        <v>27410</v>
      </c>
      <c r="E33" s="20">
        <v>0</v>
      </c>
      <c r="F33" s="20">
        <v>27410</v>
      </c>
      <c r="G33" s="43">
        <v>29061</v>
      </c>
    </row>
    <row r="34" spans="1:7" x14ac:dyDescent="0.2">
      <c r="A34" s="42" t="s">
        <v>173</v>
      </c>
      <c r="B34" s="20">
        <v>0</v>
      </c>
      <c r="C34" s="20">
        <v>0</v>
      </c>
      <c r="D34" s="20">
        <v>22534</v>
      </c>
      <c r="E34" s="20">
        <v>0</v>
      </c>
      <c r="F34" s="20">
        <v>22534</v>
      </c>
      <c r="G34" s="43">
        <v>23891</v>
      </c>
    </row>
    <row r="35" spans="1:7" x14ac:dyDescent="0.2">
      <c r="A35" s="42" t="s">
        <v>174</v>
      </c>
      <c r="B35" s="20">
        <v>0</v>
      </c>
      <c r="C35" s="20">
        <v>0</v>
      </c>
      <c r="D35" s="20">
        <v>20669</v>
      </c>
      <c r="E35" s="20">
        <v>0</v>
      </c>
      <c r="F35" s="20">
        <v>20669</v>
      </c>
      <c r="G35" s="43">
        <v>21914</v>
      </c>
    </row>
    <row r="36" spans="1:7" x14ac:dyDescent="0.2">
      <c r="A36" s="42" t="s">
        <v>175</v>
      </c>
      <c r="B36" s="20">
        <v>0</v>
      </c>
      <c r="C36" s="20">
        <v>0</v>
      </c>
      <c r="D36" s="20">
        <v>254656</v>
      </c>
      <c r="E36" s="20">
        <v>0</v>
      </c>
      <c r="F36" s="20">
        <v>254656</v>
      </c>
      <c r="G36" s="43">
        <v>270000</v>
      </c>
    </row>
    <row r="37" spans="1:7" x14ac:dyDescent="0.2">
      <c r="A37" s="42" t="s">
        <v>176</v>
      </c>
      <c r="B37" s="20">
        <v>0</v>
      </c>
      <c r="C37" s="20">
        <v>0</v>
      </c>
      <c r="D37" s="20">
        <v>21910</v>
      </c>
      <c r="E37" s="20">
        <v>0</v>
      </c>
      <c r="F37" s="20">
        <v>21910</v>
      </c>
      <c r="G37" s="43">
        <v>23230</v>
      </c>
    </row>
    <row r="38" spans="1:7" x14ac:dyDescent="0.2">
      <c r="A38" s="42" t="s">
        <v>177</v>
      </c>
      <c r="B38" s="20">
        <v>0</v>
      </c>
      <c r="C38" s="20">
        <v>0</v>
      </c>
      <c r="D38" s="20">
        <v>1793831</v>
      </c>
      <c r="E38" s="20">
        <v>0</v>
      </c>
      <c r="F38" s="20">
        <v>1793831</v>
      </c>
      <c r="G38" s="43">
        <v>1901916</v>
      </c>
    </row>
    <row r="39" spans="1:7" x14ac:dyDescent="0.2">
      <c r="A39" s="42" t="s">
        <v>178</v>
      </c>
      <c r="B39" s="20">
        <v>0</v>
      </c>
      <c r="C39" s="20">
        <v>0</v>
      </c>
      <c r="D39" s="20">
        <v>182716</v>
      </c>
      <c r="E39" s="20">
        <v>0</v>
      </c>
      <c r="F39" s="20">
        <v>182716</v>
      </c>
      <c r="G39" s="43">
        <v>193725</v>
      </c>
    </row>
    <row r="40" spans="1:7" x14ac:dyDescent="0.2">
      <c r="A40" s="42" t="s">
        <v>179</v>
      </c>
      <c r="B40" s="20">
        <v>0</v>
      </c>
      <c r="C40" s="20">
        <v>0</v>
      </c>
      <c r="D40" s="20">
        <v>7018</v>
      </c>
      <c r="E40" s="20">
        <v>0</v>
      </c>
      <c r="F40" s="20">
        <v>7018</v>
      </c>
      <c r="G40" s="43">
        <v>7441</v>
      </c>
    </row>
    <row r="41" spans="1:7" x14ac:dyDescent="0.2">
      <c r="A41" s="42" t="s">
        <v>180</v>
      </c>
      <c r="B41" s="20">
        <v>0</v>
      </c>
      <c r="C41" s="20">
        <v>0</v>
      </c>
      <c r="D41" s="20">
        <v>324580</v>
      </c>
      <c r="E41" s="20">
        <v>0</v>
      </c>
      <c r="F41" s="20">
        <v>324580</v>
      </c>
      <c r="G41" s="43">
        <v>344137</v>
      </c>
    </row>
    <row r="42" spans="1:7" x14ac:dyDescent="0.2">
      <c r="A42" s="42" t="s">
        <v>181</v>
      </c>
      <c r="B42" s="20">
        <v>0</v>
      </c>
      <c r="C42" s="20">
        <v>0</v>
      </c>
      <c r="D42" s="20">
        <v>73148</v>
      </c>
      <c r="E42" s="20">
        <v>0</v>
      </c>
      <c r="F42" s="20">
        <v>73148</v>
      </c>
      <c r="G42" s="43">
        <v>77555</v>
      </c>
    </row>
    <row r="43" spans="1:7" x14ac:dyDescent="0.2">
      <c r="A43" s="42" t="s">
        <v>182</v>
      </c>
      <c r="B43" s="20">
        <v>0</v>
      </c>
      <c r="C43" s="20">
        <v>0</v>
      </c>
      <c r="D43" s="20">
        <v>29591</v>
      </c>
      <c r="E43" s="20">
        <v>0</v>
      </c>
      <c r="F43" s="20">
        <v>29591</v>
      </c>
      <c r="G43" s="43">
        <v>31374</v>
      </c>
    </row>
    <row r="44" spans="1:7" x14ac:dyDescent="0.2">
      <c r="A44" s="42" t="s">
        <v>183</v>
      </c>
      <c r="B44" s="20">
        <v>0</v>
      </c>
      <c r="C44" s="20">
        <v>0</v>
      </c>
      <c r="D44" s="20">
        <v>595459</v>
      </c>
      <c r="E44" s="20">
        <v>0</v>
      </c>
      <c r="F44" s="20">
        <v>595459</v>
      </c>
      <c r="G44" s="43">
        <v>631338</v>
      </c>
    </row>
    <row r="45" spans="1:7" x14ac:dyDescent="0.2">
      <c r="A45" s="42" t="s">
        <v>184</v>
      </c>
      <c r="B45" s="20">
        <v>0</v>
      </c>
      <c r="C45" s="20">
        <v>0</v>
      </c>
      <c r="D45" s="20">
        <v>64018</v>
      </c>
      <c r="E45" s="20">
        <v>0</v>
      </c>
      <c r="F45" s="20">
        <v>64018</v>
      </c>
      <c r="G45" s="43">
        <v>67876</v>
      </c>
    </row>
    <row r="46" spans="1:7" x14ac:dyDescent="0.2">
      <c r="A46" s="42" t="s">
        <v>185</v>
      </c>
      <c r="B46" s="20">
        <v>0</v>
      </c>
      <c r="C46" s="20">
        <v>0</v>
      </c>
      <c r="D46" s="20">
        <v>86456</v>
      </c>
      <c r="E46" s="20">
        <v>0</v>
      </c>
      <c r="F46" s="20">
        <v>86456</v>
      </c>
      <c r="G46" s="43">
        <v>91665</v>
      </c>
    </row>
    <row r="47" spans="1:7" x14ac:dyDescent="0.2">
      <c r="A47" s="42" t="s">
        <v>186</v>
      </c>
      <c r="B47" s="20">
        <v>0</v>
      </c>
      <c r="C47" s="20">
        <v>0</v>
      </c>
      <c r="D47" s="20">
        <v>5575</v>
      </c>
      <c r="E47" s="20">
        <v>0</v>
      </c>
      <c r="F47" s="20">
        <v>5575</v>
      </c>
      <c r="G47" s="43">
        <v>5910</v>
      </c>
    </row>
    <row r="48" spans="1:7" x14ac:dyDescent="0.2">
      <c r="A48" s="42" t="s">
        <v>187</v>
      </c>
      <c r="B48" s="20">
        <v>0</v>
      </c>
      <c r="C48" s="20">
        <v>0</v>
      </c>
      <c r="D48" s="20">
        <v>129628</v>
      </c>
      <c r="E48" s="20">
        <v>0</v>
      </c>
      <c r="F48" s="20">
        <v>129628</v>
      </c>
      <c r="G48" s="43">
        <v>137439</v>
      </c>
    </row>
    <row r="49" spans="1:7" x14ac:dyDescent="0.2">
      <c r="A49" s="42" t="s">
        <v>188</v>
      </c>
      <c r="B49" s="20">
        <v>0</v>
      </c>
      <c r="C49" s="20">
        <v>0</v>
      </c>
      <c r="D49" s="20">
        <v>247453</v>
      </c>
      <c r="E49" s="20">
        <v>0</v>
      </c>
      <c r="F49" s="20">
        <v>247453</v>
      </c>
      <c r="G49" s="43">
        <v>262363</v>
      </c>
    </row>
    <row r="50" spans="1:7" x14ac:dyDescent="0.2">
      <c r="A50" s="42" t="s">
        <v>189</v>
      </c>
      <c r="B50" s="20">
        <v>0</v>
      </c>
      <c r="C50" s="20">
        <v>0</v>
      </c>
      <c r="D50" s="20">
        <v>6905</v>
      </c>
      <c r="E50" s="20">
        <v>0</v>
      </c>
      <c r="F50" s="20">
        <v>6905</v>
      </c>
      <c r="G50" s="43">
        <v>7321</v>
      </c>
    </row>
    <row r="51" spans="1:7" x14ac:dyDescent="0.2">
      <c r="A51" s="42" t="s">
        <v>190</v>
      </c>
      <c r="B51" s="20">
        <v>0</v>
      </c>
      <c r="C51" s="20">
        <v>0</v>
      </c>
      <c r="D51" s="20">
        <v>3125</v>
      </c>
      <c r="E51" s="20">
        <v>0</v>
      </c>
      <c r="F51" s="20">
        <v>3125</v>
      </c>
      <c r="G51" s="43">
        <v>3313</v>
      </c>
    </row>
    <row r="52" spans="1:7" x14ac:dyDescent="0.2">
      <c r="A52" s="42" t="s">
        <v>191</v>
      </c>
      <c r="B52" s="20">
        <v>0</v>
      </c>
      <c r="C52" s="20">
        <v>0</v>
      </c>
      <c r="D52" s="20">
        <v>125937</v>
      </c>
      <c r="E52" s="20">
        <v>0</v>
      </c>
      <c r="F52" s="20">
        <v>125937</v>
      </c>
      <c r="G52" s="43">
        <v>133525</v>
      </c>
    </row>
    <row r="53" spans="1:7" x14ac:dyDescent="0.2">
      <c r="A53" s="42" t="s">
        <v>192</v>
      </c>
      <c r="B53" s="20">
        <v>0</v>
      </c>
      <c r="C53" s="20">
        <v>0</v>
      </c>
      <c r="D53" s="20">
        <v>96222</v>
      </c>
      <c r="E53" s="20">
        <v>0</v>
      </c>
      <c r="F53" s="20">
        <v>96222</v>
      </c>
      <c r="G53" s="43">
        <v>102020</v>
      </c>
    </row>
    <row r="54" spans="1:7" x14ac:dyDescent="0.2">
      <c r="A54" s="42" t="s">
        <v>193</v>
      </c>
      <c r="B54" s="20">
        <v>0</v>
      </c>
      <c r="C54" s="20">
        <v>0</v>
      </c>
      <c r="D54" s="20">
        <v>33208</v>
      </c>
      <c r="E54" s="20">
        <v>0</v>
      </c>
      <c r="F54" s="20">
        <v>33208</v>
      </c>
      <c r="G54" s="43">
        <v>35209</v>
      </c>
    </row>
    <row r="55" spans="1:7" x14ac:dyDescent="0.2">
      <c r="A55" s="42" t="s">
        <v>194</v>
      </c>
      <c r="B55" s="20">
        <v>0</v>
      </c>
      <c r="C55" s="20">
        <v>0</v>
      </c>
      <c r="D55" s="20">
        <v>29502</v>
      </c>
      <c r="E55" s="20">
        <v>0</v>
      </c>
      <c r="F55" s="20">
        <v>29502</v>
      </c>
      <c r="G55" s="43">
        <v>31279</v>
      </c>
    </row>
    <row r="56" spans="1:7" x14ac:dyDescent="0.2">
      <c r="A56" s="42" t="s">
        <v>195</v>
      </c>
      <c r="B56" s="20">
        <v>0</v>
      </c>
      <c r="C56" s="20">
        <v>0</v>
      </c>
      <c r="D56" s="20">
        <v>3689</v>
      </c>
      <c r="E56" s="20">
        <v>0</v>
      </c>
      <c r="F56" s="20">
        <v>3689</v>
      </c>
      <c r="G56" s="43">
        <v>3911</v>
      </c>
    </row>
    <row r="57" spans="1:7" x14ac:dyDescent="0.2">
      <c r="A57" s="42" t="s">
        <v>196</v>
      </c>
      <c r="B57" s="20">
        <v>0</v>
      </c>
      <c r="C57" s="20">
        <v>0</v>
      </c>
      <c r="D57" s="20">
        <v>0</v>
      </c>
      <c r="E57" s="20">
        <v>0</v>
      </c>
      <c r="F57" s="20">
        <v>0</v>
      </c>
      <c r="G57" s="43">
        <v>0</v>
      </c>
    </row>
    <row r="58" spans="1:7" x14ac:dyDescent="0.2">
      <c r="A58" s="42" t="s">
        <v>197</v>
      </c>
      <c r="B58" s="20">
        <v>0</v>
      </c>
      <c r="C58" s="20">
        <v>0</v>
      </c>
      <c r="D58" s="20">
        <v>8127</v>
      </c>
      <c r="E58" s="20">
        <v>0</v>
      </c>
      <c r="F58" s="20">
        <v>8127</v>
      </c>
      <c r="G58" s="43">
        <v>8617</v>
      </c>
    </row>
    <row r="59" spans="1:7" x14ac:dyDescent="0.2">
      <c r="A59" s="42" t="s">
        <v>198</v>
      </c>
      <c r="B59" s="20">
        <v>0</v>
      </c>
      <c r="C59" s="20">
        <v>0</v>
      </c>
      <c r="D59" s="20">
        <v>0</v>
      </c>
      <c r="E59" s="20">
        <v>0</v>
      </c>
      <c r="F59" s="20">
        <v>0</v>
      </c>
      <c r="G59" s="43">
        <v>0</v>
      </c>
    </row>
    <row r="60" spans="1:7" x14ac:dyDescent="0.2">
      <c r="A60" s="42" t="s">
        <v>199</v>
      </c>
      <c r="B60" s="20">
        <v>0</v>
      </c>
      <c r="C60" s="20">
        <v>0</v>
      </c>
      <c r="D60" s="20">
        <v>467161</v>
      </c>
      <c r="E60" s="20">
        <v>0</v>
      </c>
      <c r="F60" s="20">
        <v>467161</v>
      </c>
      <c r="G60" s="43">
        <v>495309</v>
      </c>
    </row>
    <row r="61" spans="1:7" x14ac:dyDescent="0.2">
      <c r="A61" s="42" t="s">
        <v>200</v>
      </c>
      <c r="B61" s="20">
        <v>0</v>
      </c>
      <c r="C61" s="20">
        <v>0</v>
      </c>
      <c r="D61" s="20">
        <v>0</v>
      </c>
      <c r="E61" s="20">
        <v>0</v>
      </c>
      <c r="F61" s="20">
        <v>0</v>
      </c>
      <c r="G61" s="43">
        <v>0</v>
      </c>
    </row>
    <row r="62" spans="1:7" x14ac:dyDescent="0.2">
      <c r="A62" s="42" t="s">
        <v>201</v>
      </c>
      <c r="B62" s="20">
        <v>0</v>
      </c>
      <c r="C62" s="20">
        <v>0</v>
      </c>
      <c r="D62" s="20">
        <v>35295</v>
      </c>
      <c r="E62" s="20">
        <v>0</v>
      </c>
      <c r="F62" s="20">
        <v>35295</v>
      </c>
      <c r="G62" s="43">
        <v>37421</v>
      </c>
    </row>
    <row r="63" spans="1:7" x14ac:dyDescent="0.2">
      <c r="A63" s="42" t="s">
        <v>202</v>
      </c>
      <c r="B63" s="20">
        <v>0</v>
      </c>
      <c r="C63" s="20">
        <v>0</v>
      </c>
      <c r="D63" s="20">
        <v>0</v>
      </c>
      <c r="E63" s="20">
        <v>0</v>
      </c>
      <c r="F63" s="20">
        <v>0</v>
      </c>
      <c r="G63" s="43">
        <v>0</v>
      </c>
    </row>
    <row r="64" spans="1:7" x14ac:dyDescent="0.2">
      <c r="A64" s="42" t="s">
        <v>203</v>
      </c>
      <c r="B64" s="20">
        <v>0</v>
      </c>
      <c r="C64" s="20">
        <v>0</v>
      </c>
      <c r="D64" s="20" t="s">
        <v>677</v>
      </c>
      <c r="E64" s="20">
        <v>0</v>
      </c>
      <c r="F64" s="20">
        <v>119000</v>
      </c>
      <c r="G64" s="43" t="s">
        <v>678</v>
      </c>
    </row>
    <row r="65" spans="1:7" ht="15" customHeight="1" x14ac:dyDescent="0.2">
      <c r="A65" s="44" t="s">
        <v>204</v>
      </c>
      <c r="B65" s="45">
        <v>0</v>
      </c>
      <c r="C65" s="45">
        <v>0</v>
      </c>
      <c r="D65" s="45">
        <v>7604000</v>
      </c>
      <c r="E65" s="45">
        <v>0</v>
      </c>
      <c r="F65" s="45">
        <v>7604000</v>
      </c>
      <c r="G65" s="51">
        <v>8086996</v>
      </c>
    </row>
    <row r="66" spans="1:7" ht="15" customHeight="1" x14ac:dyDescent="0.2">
      <c r="A66" s="101" t="s">
        <v>205</v>
      </c>
      <c r="B66" s="101"/>
      <c r="C66" s="101"/>
      <c r="D66" s="101"/>
      <c r="E66" s="101"/>
      <c r="F66" s="101"/>
      <c r="G66" s="101"/>
    </row>
    <row r="67" spans="1:7" ht="15" customHeight="1" x14ac:dyDescent="0.2">
      <c r="A67" s="102" t="s">
        <v>679</v>
      </c>
      <c r="B67" s="102"/>
      <c r="C67" s="102"/>
      <c r="D67" s="102"/>
      <c r="E67" s="102"/>
      <c r="F67" s="102"/>
      <c r="G67" s="102"/>
    </row>
    <row r="68" spans="1:7" x14ac:dyDescent="0.2">
      <c r="A68" s="102" t="s">
        <v>680</v>
      </c>
      <c r="B68" s="102"/>
      <c r="C68" s="102"/>
      <c r="D68" s="102"/>
      <c r="E68" s="102"/>
      <c r="F68" s="102"/>
      <c r="G68" s="102"/>
    </row>
  </sheetData>
  <mergeCells count="7">
    <mergeCell ref="A68:G68"/>
    <mergeCell ref="A67:G67"/>
    <mergeCell ref="A4:A5"/>
    <mergeCell ref="B4:B5"/>
    <mergeCell ref="F4:F5"/>
    <mergeCell ref="G4:G5"/>
    <mergeCell ref="A66:G66"/>
  </mergeCell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247</v>
      </c>
      <c r="B1" s="16"/>
      <c r="C1" s="16"/>
      <c r="D1" s="16"/>
      <c r="E1" s="16"/>
      <c r="F1" s="16"/>
      <c r="G1" s="55" t="s">
        <v>248</v>
      </c>
    </row>
    <row r="2" spans="1:7" x14ac:dyDescent="0.2">
      <c r="A2" s="17" t="s">
        <v>358</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47018</v>
      </c>
      <c r="C6" s="20">
        <v>4092</v>
      </c>
      <c r="D6" s="20">
        <v>54688</v>
      </c>
      <c r="E6" s="20">
        <v>12437</v>
      </c>
      <c r="F6" s="20">
        <v>71216</v>
      </c>
      <c r="G6" s="43">
        <v>29841</v>
      </c>
    </row>
    <row r="7" spans="1:7" x14ac:dyDescent="0.2">
      <c r="A7" s="42" t="s">
        <v>146</v>
      </c>
      <c r="B7" s="20">
        <v>28051</v>
      </c>
      <c r="C7" s="20">
        <v>2868</v>
      </c>
      <c r="D7" s="20">
        <v>38711</v>
      </c>
      <c r="E7" s="20">
        <v>5936</v>
      </c>
      <c r="F7" s="20">
        <v>47515</v>
      </c>
      <c r="G7" s="43">
        <v>25840</v>
      </c>
    </row>
    <row r="8" spans="1:7" x14ac:dyDescent="0.2">
      <c r="A8" s="42" t="s">
        <v>147</v>
      </c>
      <c r="B8" s="20">
        <v>48254</v>
      </c>
      <c r="C8" s="20">
        <v>6490</v>
      </c>
      <c r="D8" s="20">
        <v>185979</v>
      </c>
      <c r="E8" s="20">
        <v>81699</v>
      </c>
      <c r="F8" s="20">
        <v>274167</v>
      </c>
      <c r="G8" s="43">
        <v>33176</v>
      </c>
    </row>
    <row r="9" spans="1:7" x14ac:dyDescent="0.2">
      <c r="A9" s="42" t="s">
        <v>148</v>
      </c>
      <c r="B9" s="20">
        <v>24533</v>
      </c>
      <c r="C9" s="20">
        <v>2839</v>
      </c>
      <c r="D9" s="20">
        <v>45881</v>
      </c>
      <c r="E9" s="20">
        <v>13678</v>
      </c>
      <c r="F9" s="20">
        <v>62398</v>
      </c>
      <c r="G9" s="43">
        <v>19501</v>
      </c>
    </row>
    <row r="10" spans="1:7" x14ac:dyDescent="0.2">
      <c r="A10" s="42" t="s">
        <v>149</v>
      </c>
      <c r="B10" s="20">
        <v>538916</v>
      </c>
      <c r="C10" s="20">
        <v>133374</v>
      </c>
      <c r="D10" s="20">
        <v>1074602</v>
      </c>
      <c r="E10" s="20">
        <v>336900</v>
      </c>
      <c r="F10" s="20">
        <v>1544876</v>
      </c>
      <c r="G10" s="43">
        <v>421820</v>
      </c>
    </row>
    <row r="11" spans="1:7" x14ac:dyDescent="0.2">
      <c r="A11" s="42" t="s">
        <v>150</v>
      </c>
      <c r="B11" s="20">
        <v>55973</v>
      </c>
      <c r="C11" s="20">
        <v>5141</v>
      </c>
      <c r="D11" s="20">
        <v>145169</v>
      </c>
      <c r="E11" s="20">
        <v>52428</v>
      </c>
      <c r="F11" s="20">
        <v>202738</v>
      </c>
      <c r="G11" s="43">
        <v>45270</v>
      </c>
    </row>
    <row r="12" spans="1:7" x14ac:dyDescent="0.2">
      <c r="A12" s="42" t="s">
        <v>151</v>
      </c>
      <c r="B12" s="20">
        <v>66540</v>
      </c>
      <c r="C12" s="20">
        <v>8977</v>
      </c>
      <c r="D12" s="20">
        <v>83307</v>
      </c>
      <c r="E12" s="20">
        <v>16167</v>
      </c>
      <c r="F12" s="20">
        <v>108451</v>
      </c>
      <c r="G12" s="43">
        <v>50112</v>
      </c>
    </row>
    <row r="13" spans="1:7" x14ac:dyDescent="0.2">
      <c r="A13" s="42" t="s">
        <v>152</v>
      </c>
      <c r="B13" s="20">
        <v>11877</v>
      </c>
      <c r="C13" s="20">
        <v>1602</v>
      </c>
      <c r="D13" s="20">
        <v>18601</v>
      </c>
      <c r="E13" s="20">
        <v>4887</v>
      </c>
      <c r="F13" s="20">
        <v>25091</v>
      </c>
      <c r="G13" s="43">
        <v>8975</v>
      </c>
    </row>
    <row r="14" spans="1:7" x14ac:dyDescent="0.2">
      <c r="A14" s="42" t="s">
        <v>153</v>
      </c>
      <c r="B14" s="20">
        <v>14338</v>
      </c>
      <c r="C14" s="20">
        <v>1323</v>
      </c>
      <c r="D14" s="20">
        <v>19520</v>
      </c>
      <c r="E14" s="20">
        <v>5179</v>
      </c>
      <c r="F14" s="20">
        <v>26022</v>
      </c>
      <c r="G14" s="43">
        <v>9403</v>
      </c>
    </row>
    <row r="15" spans="1:7" x14ac:dyDescent="0.2">
      <c r="A15" s="42" t="s">
        <v>154</v>
      </c>
      <c r="B15" s="20">
        <v>120907</v>
      </c>
      <c r="C15" s="20">
        <v>18232</v>
      </c>
      <c r="D15" s="20">
        <v>124023</v>
      </c>
      <c r="E15" s="20">
        <v>17082</v>
      </c>
      <c r="F15" s="20">
        <v>159337</v>
      </c>
      <c r="G15" s="43">
        <v>86653</v>
      </c>
    </row>
    <row r="16" spans="1:7" x14ac:dyDescent="0.2">
      <c r="A16" s="42" t="s">
        <v>155</v>
      </c>
      <c r="B16" s="20">
        <v>148524</v>
      </c>
      <c r="C16" s="20">
        <v>32668</v>
      </c>
      <c r="D16" s="20">
        <v>118969</v>
      </c>
      <c r="E16" s="20">
        <v>25442</v>
      </c>
      <c r="F16" s="20">
        <v>177079</v>
      </c>
      <c r="G16" s="43">
        <v>67522</v>
      </c>
    </row>
    <row r="17" spans="1:7" x14ac:dyDescent="0.2">
      <c r="A17" s="42" t="s">
        <v>156</v>
      </c>
      <c r="B17" s="20">
        <v>22711</v>
      </c>
      <c r="C17" s="20">
        <v>6546</v>
      </c>
      <c r="D17" s="20">
        <v>49117</v>
      </c>
      <c r="E17" s="20">
        <v>17561</v>
      </c>
      <c r="F17" s="20">
        <v>73224</v>
      </c>
      <c r="G17" s="43">
        <v>15806</v>
      </c>
    </row>
    <row r="18" spans="1:7" x14ac:dyDescent="0.2">
      <c r="A18" s="42" t="s">
        <v>157</v>
      </c>
      <c r="B18" s="20">
        <v>19424</v>
      </c>
      <c r="C18" s="20">
        <v>2978</v>
      </c>
      <c r="D18" s="20">
        <v>26272</v>
      </c>
      <c r="E18" s="20">
        <v>5188</v>
      </c>
      <c r="F18" s="20">
        <v>34438</v>
      </c>
      <c r="G18" s="43">
        <v>15601</v>
      </c>
    </row>
    <row r="19" spans="1:7" x14ac:dyDescent="0.2">
      <c r="A19" s="42" t="s">
        <v>158</v>
      </c>
      <c r="B19" s="20">
        <v>190359</v>
      </c>
      <c r="C19" s="20">
        <v>24614</v>
      </c>
      <c r="D19" s="20">
        <v>210909</v>
      </c>
      <c r="E19" s="20">
        <v>32906</v>
      </c>
      <c r="F19" s="20">
        <v>268429</v>
      </c>
      <c r="G19" s="43">
        <v>139584</v>
      </c>
    </row>
    <row r="20" spans="1:7" x14ac:dyDescent="0.2">
      <c r="A20" s="42" t="s">
        <v>159</v>
      </c>
      <c r="B20" s="20">
        <v>62005</v>
      </c>
      <c r="C20" s="20">
        <v>10971</v>
      </c>
      <c r="D20" s="20">
        <v>95813</v>
      </c>
      <c r="E20" s="20">
        <v>23491</v>
      </c>
      <c r="F20" s="20">
        <v>130275</v>
      </c>
      <c r="G20" s="43">
        <v>48870</v>
      </c>
    </row>
    <row r="21" spans="1:7" x14ac:dyDescent="0.2">
      <c r="A21" s="42" t="s">
        <v>160</v>
      </c>
      <c r="B21" s="20">
        <v>37880</v>
      </c>
      <c r="C21" s="20">
        <v>4079</v>
      </c>
      <c r="D21" s="20">
        <v>47954</v>
      </c>
      <c r="E21" s="20">
        <v>9919</v>
      </c>
      <c r="F21" s="20">
        <v>61953</v>
      </c>
      <c r="G21" s="43">
        <v>27833</v>
      </c>
    </row>
    <row r="22" spans="1:7" x14ac:dyDescent="0.2">
      <c r="A22" s="42" t="s">
        <v>161</v>
      </c>
      <c r="B22" s="20">
        <v>25031</v>
      </c>
      <c r="C22" s="20">
        <v>5256</v>
      </c>
      <c r="D22" s="20">
        <v>83112</v>
      </c>
      <c r="E22" s="20">
        <v>29618</v>
      </c>
      <c r="F22" s="20">
        <v>117986</v>
      </c>
      <c r="G22" s="43">
        <v>26622</v>
      </c>
    </row>
    <row r="23" spans="1:7" x14ac:dyDescent="0.2">
      <c r="A23" s="42" t="s">
        <v>162</v>
      </c>
      <c r="B23" s="20">
        <v>43136</v>
      </c>
      <c r="C23" s="20">
        <v>4662</v>
      </c>
      <c r="D23" s="20">
        <v>57214</v>
      </c>
      <c r="E23" s="20">
        <v>12811</v>
      </c>
      <c r="F23" s="20">
        <v>74687</v>
      </c>
      <c r="G23" s="43">
        <v>31399</v>
      </c>
    </row>
    <row r="24" spans="1:7" x14ac:dyDescent="0.2">
      <c r="A24" s="42" t="s">
        <v>163</v>
      </c>
      <c r="B24" s="20">
        <v>57144</v>
      </c>
      <c r="C24" s="20">
        <v>14010</v>
      </c>
      <c r="D24" s="20">
        <v>84892</v>
      </c>
      <c r="E24" s="20">
        <v>24820</v>
      </c>
      <c r="F24" s="20">
        <v>123721</v>
      </c>
      <c r="G24" s="43">
        <v>36500</v>
      </c>
    </row>
    <row r="25" spans="1:7" x14ac:dyDescent="0.2">
      <c r="A25" s="42" t="s">
        <v>164</v>
      </c>
      <c r="B25" s="20">
        <v>17956</v>
      </c>
      <c r="C25" s="20">
        <v>1563</v>
      </c>
      <c r="D25" s="20">
        <v>29876</v>
      </c>
      <c r="E25" s="20">
        <v>8117</v>
      </c>
      <c r="F25" s="20">
        <v>39557</v>
      </c>
      <c r="G25" s="43">
        <v>14593</v>
      </c>
    </row>
    <row r="26" spans="1:7" x14ac:dyDescent="0.2">
      <c r="A26" s="42" t="s">
        <v>165</v>
      </c>
      <c r="B26" s="20">
        <v>68553</v>
      </c>
      <c r="C26" s="20">
        <v>6579</v>
      </c>
      <c r="D26" s="20">
        <v>126308</v>
      </c>
      <c r="E26" s="20">
        <v>37109</v>
      </c>
      <c r="F26" s="20">
        <v>169996</v>
      </c>
      <c r="G26" s="43">
        <v>54407</v>
      </c>
    </row>
    <row r="27" spans="1:7" x14ac:dyDescent="0.2">
      <c r="A27" s="42" t="s">
        <v>166</v>
      </c>
      <c r="B27" s="20">
        <v>83831</v>
      </c>
      <c r="C27" s="20">
        <v>9396</v>
      </c>
      <c r="D27" s="20">
        <v>146427</v>
      </c>
      <c r="E27" s="20">
        <v>39225</v>
      </c>
      <c r="F27" s="20">
        <v>195048</v>
      </c>
      <c r="G27" s="43">
        <v>69157</v>
      </c>
    </row>
    <row r="28" spans="1:7" x14ac:dyDescent="0.2">
      <c r="A28" s="42" t="s">
        <v>167</v>
      </c>
      <c r="B28" s="20">
        <v>192001</v>
      </c>
      <c r="C28" s="20">
        <v>21403</v>
      </c>
      <c r="D28" s="20">
        <v>364417</v>
      </c>
      <c r="E28" s="20">
        <v>114340</v>
      </c>
      <c r="F28" s="20">
        <v>500160</v>
      </c>
      <c r="G28" s="43">
        <v>143215</v>
      </c>
    </row>
    <row r="29" spans="1:7" x14ac:dyDescent="0.2">
      <c r="A29" s="42" t="s">
        <v>168</v>
      </c>
      <c r="B29" s="20">
        <v>69593</v>
      </c>
      <c r="C29" s="20">
        <v>10402</v>
      </c>
      <c r="D29" s="20">
        <v>88291</v>
      </c>
      <c r="E29" s="20">
        <v>17786</v>
      </c>
      <c r="F29" s="20">
        <v>116479</v>
      </c>
      <c r="G29" s="43">
        <v>52107</v>
      </c>
    </row>
    <row r="30" spans="1:7" x14ac:dyDescent="0.2">
      <c r="A30" s="42" t="s">
        <v>169</v>
      </c>
      <c r="B30" s="20">
        <v>30421</v>
      </c>
      <c r="C30" s="20">
        <v>7876</v>
      </c>
      <c r="D30" s="20">
        <v>71004</v>
      </c>
      <c r="E30" s="20">
        <v>24727</v>
      </c>
      <c r="F30" s="20">
        <v>103607</v>
      </c>
      <c r="G30" s="43">
        <v>23820</v>
      </c>
    </row>
    <row r="31" spans="1:7" x14ac:dyDescent="0.2">
      <c r="A31" s="42" t="s">
        <v>170</v>
      </c>
      <c r="B31" s="20">
        <v>50602</v>
      </c>
      <c r="C31" s="20">
        <v>8176</v>
      </c>
      <c r="D31" s="20">
        <v>72819</v>
      </c>
      <c r="E31" s="20">
        <v>15195</v>
      </c>
      <c r="F31" s="20">
        <v>96189</v>
      </c>
      <c r="G31" s="43">
        <v>41919</v>
      </c>
    </row>
    <row r="32" spans="1:7" x14ac:dyDescent="0.2">
      <c r="A32" s="42" t="s">
        <v>171</v>
      </c>
      <c r="B32" s="20">
        <v>12833</v>
      </c>
      <c r="C32" s="20">
        <v>1318</v>
      </c>
      <c r="D32" s="20">
        <v>23734</v>
      </c>
      <c r="E32" s="20">
        <v>7552</v>
      </c>
      <c r="F32" s="20">
        <v>32604</v>
      </c>
      <c r="G32" s="43">
        <v>9408</v>
      </c>
    </row>
    <row r="33" spans="1:7" x14ac:dyDescent="0.2">
      <c r="A33" s="42" t="s">
        <v>172</v>
      </c>
      <c r="B33" s="20">
        <v>24306</v>
      </c>
      <c r="C33" s="20">
        <v>2946</v>
      </c>
      <c r="D33" s="20">
        <v>29833</v>
      </c>
      <c r="E33" s="20">
        <v>6878</v>
      </c>
      <c r="F33" s="20">
        <v>39657</v>
      </c>
      <c r="G33" s="43">
        <v>16018</v>
      </c>
    </row>
    <row r="34" spans="1:7" x14ac:dyDescent="0.2">
      <c r="A34" s="42" t="s">
        <v>173</v>
      </c>
      <c r="B34" s="20">
        <v>38855</v>
      </c>
      <c r="C34" s="20">
        <v>7998</v>
      </c>
      <c r="D34" s="20">
        <v>93059</v>
      </c>
      <c r="E34" s="20">
        <v>34613</v>
      </c>
      <c r="F34" s="20">
        <v>135670</v>
      </c>
      <c r="G34" s="43">
        <v>27385</v>
      </c>
    </row>
    <row r="35" spans="1:7" x14ac:dyDescent="0.2">
      <c r="A35" s="42" t="s">
        <v>174</v>
      </c>
      <c r="B35" s="20">
        <v>22234</v>
      </c>
      <c r="C35" s="20">
        <v>2996</v>
      </c>
      <c r="D35" s="20">
        <v>29952</v>
      </c>
      <c r="E35" s="20">
        <v>9293</v>
      </c>
      <c r="F35" s="20">
        <v>42242</v>
      </c>
      <c r="G35" s="43">
        <v>12974</v>
      </c>
    </row>
    <row r="36" spans="1:7" x14ac:dyDescent="0.2">
      <c r="A36" s="42" t="s">
        <v>175</v>
      </c>
      <c r="B36" s="20">
        <v>143152</v>
      </c>
      <c r="C36" s="20">
        <v>13331</v>
      </c>
      <c r="D36" s="20">
        <v>230749</v>
      </c>
      <c r="E36" s="20">
        <v>55645</v>
      </c>
      <c r="F36" s="20">
        <v>299725</v>
      </c>
      <c r="G36" s="43">
        <v>119246</v>
      </c>
    </row>
    <row r="37" spans="1:7" x14ac:dyDescent="0.2">
      <c r="A37" s="42" t="s">
        <v>176</v>
      </c>
      <c r="B37" s="20">
        <v>18752</v>
      </c>
      <c r="C37" s="20">
        <v>3500</v>
      </c>
      <c r="D37" s="20">
        <v>36926</v>
      </c>
      <c r="E37" s="20">
        <v>10705</v>
      </c>
      <c r="F37" s="20">
        <v>51131</v>
      </c>
      <c r="G37" s="43">
        <v>16273</v>
      </c>
    </row>
    <row r="38" spans="1:7" x14ac:dyDescent="0.2">
      <c r="A38" s="42" t="s">
        <v>177</v>
      </c>
      <c r="B38" s="20">
        <v>278772</v>
      </c>
      <c r="C38" s="20">
        <v>48681</v>
      </c>
      <c r="D38" s="20">
        <v>468858</v>
      </c>
      <c r="E38" s="20">
        <v>139865</v>
      </c>
      <c r="F38" s="20">
        <v>657405</v>
      </c>
      <c r="G38" s="43">
        <v>196043</v>
      </c>
    </row>
    <row r="39" spans="1:7" x14ac:dyDescent="0.2">
      <c r="A39" s="42" t="s">
        <v>178</v>
      </c>
      <c r="B39" s="20">
        <v>113158</v>
      </c>
      <c r="C39" s="20">
        <v>19030</v>
      </c>
      <c r="D39" s="20">
        <v>173010</v>
      </c>
      <c r="E39" s="20">
        <v>55939</v>
      </c>
      <c r="F39" s="20">
        <v>247980</v>
      </c>
      <c r="G39" s="43">
        <v>65395</v>
      </c>
    </row>
    <row r="40" spans="1:7" x14ac:dyDescent="0.2">
      <c r="A40" s="42" t="s">
        <v>179</v>
      </c>
      <c r="B40" s="20">
        <v>8859</v>
      </c>
      <c r="C40" s="20">
        <v>889</v>
      </c>
      <c r="D40" s="20">
        <v>15617</v>
      </c>
      <c r="E40" s="20">
        <v>4114</v>
      </c>
      <c r="F40" s="20">
        <v>20619</v>
      </c>
      <c r="G40" s="43">
        <v>7624</v>
      </c>
    </row>
    <row r="41" spans="1:7" x14ac:dyDescent="0.2">
      <c r="A41" s="42" t="s">
        <v>180</v>
      </c>
      <c r="B41" s="20">
        <v>121021</v>
      </c>
      <c r="C41" s="20">
        <v>18542</v>
      </c>
      <c r="D41" s="20">
        <v>214272</v>
      </c>
      <c r="E41" s="20">
        <v>64556</v>
      </c>
      <c r="F41" s="20">
        <v>297371</v>
      </c>
      <c r="G41" s="43">
        <v>88983</v>
      </c>
    </row>
    <row r="42" spans="1:7" x14ac:dyDescent="0.2">
      <c r="A42" s="42" t="s">
        <v>181</v>
      </c>
      <c r="B42" s="20">
        <v>48360</v>
      </c>
      <c r="C42" s="20">
        <v>4490</v>
      </c>
      <c r="D42" s="20">
        <v>39599</v>
      </c>
      <c r="E42" s="20">
        <v>7941</v>
      </c>
      <c r="F42" s="20">
        <v>52030</v>
      </c>
      <c r="G42" s="43">
        <v>23544</v>
      </c>
    </row>
    <row r="43" spans="1:7" x14ac:dyDescent="0.2">
      <c r="A43" s="42" t="s">
        <v>182</v>
      </c>
      <c r="B43" s="20">
        <v>68583</v>
      </c>
      <c r="C43" s="20">
        <v>8465</v>
      </c>
      <c r="D43" s="20">
        <v>102254</v>
      </c>
      <c r="E43" s="20">
        <v>23444</v>
      </c>
      <c r="F43" s="20">
        <v>134163</v>
      </c>
      <c r="G43" s="43">
        <v>55043</v>
      </c>
    </row>
    <row r="44" spans="1:7" x14ac:dyDescent="0.2">
      <c r="A44" s="42" t="s">
        <v>183</v>
      </c>
      <c r="B44" s="20">
        <v>163708</v>
      </c>
      <c r="C44" s="20">
        <v>17510</v>
      </c>
      <c r="D44" s="20">
        <v>312148</v>
      </c>
      <c r="E44" s="20">
        <v>87290</v>
      </c>
      <c r="F44" s="20">
        <v>416949</v>
      </c>
      <c r="G44" s="43">
        <v>140596</v>
      </c>
    </row>
    <row r="45" spans="1:7" x14ac:dyDescent="0.2">
      <c r="A45" s="42" t="s">
        <v>184</v>
      </c>
      <c r="B45" s="20">
        <v>18360</v>
      </c>
      <c r="C45" s="20">
        <v>2098</v>
      </c>
      <c r="D45" s="20">
        <v>51442</v>
      </c>
      <c r="E45" s="20">
        <v>19473</v>
      </c>
      <c r="F45" s="20">
        <v>73012</v>
      </c>
      <c r="G45" s="43">
        <v>15042</v>
      </c>
    </row>
    <row r="46" spans="1:7" x14ac:dyDescent="0.2">
      <c r="A46" s="42" t="s">
        <v>185</v>
      </c>
      <c r="B46" s="20">
        <v>44967</v>
      </c>
      <c r="C46" s="20">
        <v>6552</v>
      </c>
      <c r="D46" s="20">
        <v>39242</v>
      </c>
      <c r="E46" s="20">
        <v>4180</v>
      </c>
      <c r="F46" s="20">
        <v>49973</v>
      </c>
      <c r="G46" s="43">
        <v>29399</v>
      </c>
    </row>
    <row r="47" spans="1:7" x14ac:dyDescent="0.2">
      <c r="A47" s="42" t="s">
        <v>186</v>
      </c>
      <c r="B47" s="20">
        <v>6996</v>
      </c>
      <c r="C47" s="20">
        <v>291</v>
      </c>
      <c r="D47" s="20">
        <v>11724</v>
      </c>
      <c r="E47" s="20">
        <v>3434</v>
      </c>
      <c r="F47" s="20">
        <v>15449</v>
      </c>
      <c r="G47" s="43">
        <v>5368</v>
      </c>
    </row>
    <row r="48" spans="1:7" x14ac:dyDescent="0.2">
      <c r="A48" s="42" t="s">
        <v>187</v>
      </c>
      <c r="B48" s="20">
        <v>55814</v>
      </c>
      <c r="C48" s="20">
        <v>6592</v>
      </c>
      <c r="D48" s="20">
        <v>70154</v>
      </c>
      <c r="E48" s="20">
        <v>15503</v>
      </c>
      <c r="F48" s="20">
        <v>92250</v>
      </c>
      <c r="G48" s="43">
        <v>38766</v>
      </c>
    </row>
    <row r="49" spans="1:7" x14ac:dyDescent="0.2">
      <c r="A49" s="42" t="s">
        <v>188</v>
      </c>
      <c r="B49" s="20">
        <v>205287</v>
      </c>
      <c r="C49" s="20">
        <v>39172</v>
      </c>
      <c r="D49" s="20">
        <v>323259</v>
      </c>
      <c r="E49" s="20">
        <v>72885</v>
      </c>
      <c r="F49" s="20">
        <v>435316</v>
      </c>
      <c r="G49" s="43">
        <v>175260</v>
      </c>
    </row>
    <row r="50" spans="1:7" x14ac:dyDescent="0.2">
      <c r="A50" s="42" t="s">
        <v>189</v>
      </c>
      <c r="B50" s="20">
        <v>33438</v>
      </c>
      <c r="C50" s="20">
        <v>4886</v>
      </c>
      <c r="D50" s="20">
        <v>44196</v>
      </c>
      <c r="E50" s="20">
        <v>9651</v>
      </c>
      <c r="F50" s="20">
        <v>58733</v>
      </c>
      <c r="G50" s="43">
        <v>25489</v>
      </c>
    </row>
    <row r="51" spans="1:7" x14ac:dyDescent="0.2">
      <c r="A51" s="42" t="s">
        <v>190</v>
      </c>
      <c r="B51" s="20">
        <v>10124</v>
      </c>
      <c r="C51" s="20">
        <v>1110</v>
      </c>
      <c r="D51" s="20">
        <v>17474</v>
      </c>
      <c r="E51" s="20">
        <v>4880</v>
      </c>
      <c r="F51" s="20">
        <v>23464</v>
      </c>
      <c r="G51" s="43">
        <v>7945</v>
      </c>
    </row>
    <row r="52" spans="1:7" x14ac:dyDescent="0.2">
      <c r="A52" s="42" t="s">
        <v>191</v>
      </c>
      <c r="B52" s="20">
        <v>78264</v>
      </c>
      <c r="C52" s="20">
        <v>13284</v>
      </c>
      <c r="D52" s="20">
        <v>108523</v>
      </c>
      <c r="E52" s="20">
        <v>33134</v>
      </c>
      <c r="F52" s="20">
        <v>154942</v>
      </c>
      <c r="G52" s="43">
        <v>44250</v>
      </c>
    </row>
    <row r="53" spans="1:7" x14ac:dyDescent="0.2">
      <c r="A53" s="42" t="s">
        <v>192</v>
      </c>
      <c r="B53" s="20">
        <v>139741</v>
      </c>
      <c r="C53" s="20">
        <v>24895</v>
      </c>
      <c r="D53" s="20">
        <v>195760</v>
      </c>
      <c r="E53" s="20">
        <v>49186</v>
      </c>
      <c r="F53" s="20">
        <v>269841</v>
      </c>
      <c r="G53" s="43">
        <v>97728</v>
      </c>
    </row>
    <row r="54" spans="1:7" x14ac:dyDescent="0.2">
      <c r="A54" s="42" t="s">
        <v>193</v>
      </c>
      <c r="B54" s="20">
        <v>16173</v>
      </c>
      <c r="C54" s="20">
        <v>2257</v>
      </c>
      <c r="D54" s="20">
        <v>30598</v>
      </c>
      <c r="E54" s="20">
        <v>9389</v>
      </c>
      <c r="F54" s="20">
        <v>42244</v>
      </c>
      <c r="G54" s="43">
        <v>12412</v>
      </c>
    </row>
    <row r="55" spans="1:7" x14ac:dyDescent="0.2">
      <c r="A55" s="42" t="s">
        <v>194</v>
      </c>
      <c r="B55" s="20">
        <v>72462</v>
      </c>
      <c r="C55" s="20">
        <v>7985</v>
      </c>
      <c r="D55" s="20">
        <v>91427</v>
      </c>
      <c r="E55" s="20">
        <v>10546</v>
      </c>
      <c r="F55" s="20">
        <v>109959</v>
      </c>
      <c r="G55" s="43">
        <v>66960</v>
      </c>
    </row>
    <row r="56" spans="1:7" x14ac:dyDescent="0.2">
      <c r="A56" s="42" t="s">
        <v>195</v>
      </c>
      <c r="B56" s="20">
        <v>10975</v>
      </c>
      <c r="C56" s="20">
        <v>1394</v>
      </c>
      <c r="D56" s="20">
        <v>14757</v>
      </c>
      <c r="E56" s="20">
        <v>3090</v>
      </c>
      <c r="F56" s="20">
        <v>19242</v>
      </c>
      <c r="G56" s="43">
        <v>8581</v>
      </c>
    </row>
    <row r="57" spans="1:7" x14ac:dyDescent="0.2">
      <c r="A57" s="42" t="s">
        <v>196</v>
      </c>
      <c r="B57" s="20">
        <v>460</v>
      </c>
      <c r="C57" s="20">
        <v>0</v>
      </c>
      <c r="D57" s="20">
        <v>1073</v>
      </c>
      <c r="E57" s="20">
        <v>622</v>
      </c>
      <c r="F57" s="20">
        <v>0</v>
      </c>
      <c r="G57" s="43">
        <v>0</v>
      </c>
    </row>
    <row r="58" spans="1:7" x14ac:dyDescent="0.2">
      <c r="A58" s="42" t="s">
        <v>197</v>
      </c>
      <c r="B58" s="20">
        <v>4344</v>
      </c>
      <c r="C58" s="20">
        <v>0</v>
      </c>
      <c r="D58" s="20">
        <v>5501</v>
      </c>
      <c r="E58" s="20">
        <v>3031</v>
      </c>
      <c r="F58" s="20">
        <v>0</v>
      </c>
      <c r="G58" s="43">
        <v>0</v>
      </c>
    </row>
    <row r="59" spans="1:7" x14ac:dyDescent="0.2">
      <c r="A59" s="42" t="s">
        <v>198</v>
      </c>
      <c r="B59" s="20">
        <v>2</v>
      </c>
      <c r="C59" s="20">
        <v>0</v>
      </c>
      <c r="D59" s="20">
        <v>1263</v>
      </c>
      <c r="E59" s="20">
        <v>725</v>
      </c>
      <c r="F59" s="20">
        <v>0</v>
      </c>
      <c r="G59" s="43">
        <v>0</v>
      </c>
    </row>
    <row r="60" spans="1:7" x14ac:dyDescent="0.2">
      <c r="A60" s="42" t="s">
        <v>199</v>
      </c>
      <c r="B60" s="20">
        <v>19165</v>
      </c>
      <c r="C60" s="20">
        <v>1982</v>
      </c>
      <c r="D60" s="20">
        <v>45442</v>
      </c>
      <c r="E60" s="20">
        <v>17212</v>
      </c>
      <c r="F60" s="20">
        <v>47424</v>
      </c>
      <c r="G60" s="43">
        <v>13954</v>
      </c>
    </row>
    <row r="61" spans="1:7" x14ac:dyDescent="0.2">
      <c r="A61" s="42" t="s">
        <v>200</v>
      </c>
      <c r="B61" s="20">
        <v>424</v>
      </c>
      <c r="C61" s="20">
        <v>0</v>
      </c>
      <c r="D61" s="20">
        <v>2143</v>
      </c>
      <c r="E61" s="20">
        <v>1242</v>
      </c>
      <c r="F61" s="20">
        <v>0</v>
      </c>
      <c r="G61" s="43">
        <v>0</v>
      </c>
    </row>
    <row r="62" spans="1:7" x14ac:dyDescent="0.2">
      <c r="A62" s="42" t="s">
        <v>201</v>
      </c>
      <c r="B62" s="20">
        <v>1494</v>
      </c>
      <c r="C62" s="20">
        <v>19</v>
      </c>
      <c r="D62" s="20">
        <v>7072</v>
      </c>
      <c r="E62" s="20">
        <v>2931</v>
      </c>
      <c r="F62" s="20">
        <v>7090</v>
      </c>
      <c r="G62" s="43">
        <v>1860</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3856661</v>
      </c>
      <c r="C65" s="45">
        <v>618330</v>
      </c>
      <c r="D65" s="45">
        <v>6294936</v>
      </c>
      <c r="E65" s="45">
        <v>1753597</v>
      </c>
      <c r="F65" s="45">
        <v>8631124</v>
      </c>
      <c r="G65" s="51">
        <v>2861092</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249</v>
      </c>
      <c r="B1" s="16"/>
      <c r="C1" s="16"/>
      <c r="D1" s="16"/>
      <c r="E1" s="16"/>
      <c r="F1" s="16"/>
      <c r="G1" s="15" t="s">
        <v>232</v>
      </c>
    </row>
    <row r="2" spans="1:7" x14ac:dyDescent="0.2">
      <c r="A2" s="17" t="s">
        <v>359</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143261</v>
      </c>
      <c r="C6" s="20">
        <v>2218</v>
      </c>
      <c r="D6" s="20">
        <v>84206</v>
      </c>
      <c r="E6" s="20">
        <v>8522</v>
      </c>
      <c r="F6" s="20">
        <v>94946</v>
      </c>
      <c r="G6" s="43">
        <v>52044</v>
      </c>
    </row>
    <row r="7" spans="1:7" x14ac:dyDescent="0.2">
      <c r="A7" s="42" t="s">
        <v>146</v>
      </c>
      <c r="B7" s="20">
        <v>398321</v>
      </c>
      <c r="C7" s="20">
        <v>5069</v>
      </c>
      <c r="D7" s="20">
        <v>278084</v>
      </c>
      <c r="E7" s="20">
        <v>24251</v>
      </c>
      <c r="F7" s="20">
        <v>307404</v>
      </c>
      <c r="G7" s="43">
        <v>211580</v>
      </c>
    </row>
    <row r="8" spans="1:7" x14ac:dyDescent="0.2">
      <c r="A8" s="42" t="s">
        <v>147</v>
      </c>
      <c r="B8" s="20">
        <v>322628</v>
      </c>
      <c r="C8" s="20">
        <v>8634</v>
      </c>
      <c r="D8" s="20">
        <v>142590</v>
      </c>
      <c r="E8" s="20">
        <v>49190</v>
      </c>
      <c r="F8" s="20">
        <v>200414</v>
      </c>
      <c r="G8" s="43">
        <v>75430</v>
      </c>
    </row>
    <row r="9" spans="1:7" x14ac:dyDescent="0.2">
      <c r="A9" s="42" t="s">
        <v>148</v>
      </c>
      <c r="B9" s="20">
        <v>112741</v>
      </c>
      <c r="C9" s="20">
        <v>2007</v>
      </c>
      <c r="D9" s="20">
        <v>55452</v>
      </c>
      <c r="E9" s="20">
        <v>6236</v>
      </c>
      <c r="F9" s="20">
        <v>63695</v>
      </c>
      <c r="G9" s="43">
        <v>36797</v>
      </c>
    </row>
    <row r="10" spans="1:7" x14ac:dyDescent="0.2">
      <c r="A10" s="42" t="s">
        <v>149</v>
      </c>
      <c r="B10" s="20">
        <v>1407978</v>
      </c>
      <c r="C10" s="20">
        <v>40543</v>
      </c>
      <c r="D10" s="20">
        <v>514838</v>
      </c>
      <c r="E10" s="20">
        <v>224957</v>
      </c>
      <c r="F10" s="20">
        <v>780338</v>
      </c>
      <c r="G10" s="43">
        <v>249915</v>
      </c>
    </row>
    <row r="11" spans="1:7" x14ac:dyDescent="0.2">
      <c r="A11" s="42" t="s">
        <v>150</v>
      </c>
      <c r="B11" s="20">
        <v>437524</v>
      </c>
      <c r="C11" s="20">
        <v>12747</v>
      </c>
      <c r="D11" s="20">
        <v>149306</v>
      </c>
      <c r="E11" s="20">
        <v>65835</v>
      </c>
      <c r="F11" s="20">
        <v>227887</v>
      </c>
      <c r="G11" s="43">
        <v>66420</v>
      </c>
    </row>
    <row r="12" spans="1:7" x14ac:dyDescent="0.2">
      <c r="A12" s="42" t="s">
        <v>151</v>
      </c>
      <c r="B12" s="20">
        <v>44431</v>
      </c>
      <c r="C12" s="20">
        <v>1178</v>
      </c>
      <c r="D12" s="20">
        <v>27599</v>
      </c>
      <c r="E12" s="20">
        <v>7234</v>
      </c>
      <c r="F12" s="20">
        <v>36011</v>
      </c>
      <c r="G12" s="43">
        <v>17093</v>
      </c>
    </row>
    <row r="13" spans="1:7" x14ac:dyDescent="0.2">
      <c r="A13" s="42" t="s">
        <v>152</v>
      </c>
      <c r="B13" s="20">
        <v>9519</v>
      </c>
      <c r="C13" s="20">
        <v>30</v>
      </c>
      <c r="D13" s="20">
        <v>7010</v>
      </c>
      <c r="E13" s="20">
        <v>60</v>
      </c>
      <c r="F13" s="20">
        <v>7101</v>
      </c>
      <c r="G13" s="43">
        <v>5811</v>
      </c>
    </row>
    <row r="14" spans="1:7" x14ac:dyDescent="0.2">
      <c r="A14" s="42" t="s">
        <v>153</v>
      </c>
      <c r="B14" s="20">
        <v>453</v>
      </c>
      <c r="C14" s="20">
        <v>1</v>
      </c>
      <c r="D14" s="20">
        <v>293092</v>
      </c>
      <c r="E14" s="20">
        <v>37</v>
      </c>
      <c r="F14" s="20">
        <v>331</v>
      </c>
      <c r="G14" s="43">
        <v>245</v>
      </c>
    </row>
    <row r="15" spans="1:7" x14ac:dyDescent="0.2">
      <c r="A15" s="42" t="s">
        <v>154</v>
      </c>
      <c r="B15" s="20">
        <v>1147668</v>
      </c>
      <c r="C15" s="20">
        <v>33860</v>
      </c>
      <c r="D15" s="20">
        <v>420158</v>
      </c>
      <c r="E15" s="20">
        <v>181023</v>
      </c>
      <c r="F15" s="20">
        <v>635041</v>
      </c>
      <c r="G15" s="43">
        <v>197332</v>
      </c>
    </row>
    <row r="16" spans="1:7" x14ac:dyDescent="0.2">
      <c r="A16" s="42" t="s">
        <v>155</v>
      </c>
      <c r="B16" s="20">
        <v>508813</v>
      </c>
      <c r="C16" s="20">
        <v>15415</v>
      </c>
      <c r="D16" s="20">
        <v>174469</v>
      </c>
      <c r="E16" s="20">
        <v>98925</v>
      </c>
      <c r="F16" s="20">
        <v>288809</v>
      </c>
      <c r="G16" s="43">
        <v>66145</v>
      </c>
    </row>
    <row r="17" spans="1:7" x14ac:dyDescent="0.2">
      <c r="A17" s="42" t="s">
        <v>156</v>
      </c>
      <c r="B17" s="20">
        <v>251726</v>
      </c>
      <c r="C17" s="20">
        <v>5628</v>
      </c>
      <c r="D17" s="20">
        <v>89438</v>
      </c>
      <c r="E17" s="20">
        <v>36083</v>
      </c>
      <c r="F17" s="20">
        <v>131148</v>
      </c>
      <c r="G17" s="43">
        <v>39974</v>
      </c>
    </row>
    <row r="18" spans="1:7" x14ac:dyDescent="0.2">
      <c r="A18" s="42" t="s">
        <v>157</v>
      </c>
      <c r="B18" s="20">
        <v>93016</v>
      </c>
      <c r="C18" s="20">
        <v>1442</v>
      </c>
      <c r="D18" s="20">
        <v>48988</v>
      </c>
      <c r="E18" s="20">
        <v>6639</v>
      </c>
      <c r="F18" s="20">
        <v>57069</v>
      </c>
      <c r="G18" s="43">
        <v>29297</v>
      </c>
    </row>
    <row r="19" spans="1:7" x14ac:dyDescent="0.2">
      <c r="A19" s="42" t="s">
        <v>158</v>
      </c>
      <c r="B19" s="20">
        <v>614288</v>
      </c>
      <c r="C19" s="20">
        <v>16983</v>
      </c>
      <c r="D19" s="20">
        <v>242947</v>
      </c>
      <c r="E19" s="20">
        <v>97022</v>
      </c>
      <c r="F19" s="20">
        <v>356953</v>
      </c>
      <c r="G19" s="43">
        <v>129963</v>
      </c>
    </row>
    <row r="20" spans="1:7" x14ac:dyDescent="0.2">
      <c r="A20" s="42" t="s">
        <v>159</v>
      </c>
      <c r="B20" s="20">
        <v>195377</v>
      </c>
      <c r="C20" s="20">
        <v>3989</v>
      </c>
      <c r="D20" s="20">
        <v>88339</v>
      </c>
      <c r="E20" s="20">
        <v>14575</v>
      </c>
      <c r="F20" s="20">
        <v>106903</v>
      </c>
      <c r="G20" s="43">
        <v>57581</v>
      </c>
    </row>
    <row r="21" spans="1:7" x14ac:dyDescent="0.2">
      <c r="A21" s="42" t="s">
        <v>160</v>
      </c>
      <c r="B21" s="20">
        <v>118133</v>
      </c>
      <c r="C21" s="20">
        <v>2216</v>
      </c>
      <c r="D21" s="20">
        <v>70500</v>
      </c>
      <c r="E21" s="20">
        <v>6737</v>
      </c>
      <c r="F21" s="20">
        <v>79453</v>
      </c>
      <c r="G21" s="43">
        <v>50454</v>
      </c>
    </row>
    <row r="22" spans="1:7" x14ac:dyDescent="0.2">
      <c r="A22" s="42" t="s">
        <v>161</v>
      </c>
      <c r="B22" s="20">
        <v>86743</v>
      </c>
      <c r="C22" s="20">
        <v>1606</v>
      </c>
      <c r="D22" s="20">
        <v>48024</v>
      </c>
      <c r="E22" s="20">
        <v>4313</v>
      </c>
      <c r="F22" s="20">
        <v>53943</v>
      </c>
      <c r="G22" s="43">
        <v>31486</v>
      </c>
    </row>
    <row r="23" spans="1:7" x14ac:dyDescent="0.2">
      <c r="A23" s="42" t="s">
        <v>162</v>
      </c>
      <c r="B23" s="20">
        <v>208822</v>
      </c>
      <c r="C23" s="20">
        <v>3333</v>
      </c>
      <c r="D23" s="20">
        <v>98109</v>
      </c>
      <c r="E23" s="20">
        <v>22495</v>
      </c>
      <c r="F23" s="20">
        <v>123938</v>
      </c>
      <c r="G23" s="43">
        <v>60147</v>
      </c>
    </row>
    <row r="24" spans="1:7" x14ac:dyDescent="0.2">
      <c r="A24" s="42" t="s">
        <v>163</v>
      </c>
      <c r="B24" s="20">
        <v>219679</v>
      </c>
      <c r="C24" s="20">
        <v>3634</v>
      </c>
      <c r="D24" s="20">
        <v>103197</v>
      </c>
      <c r="E24" s="20">
        <v>17842</v>
      </c>
      <c r="F24" s="20">
        <v>124673</v>
      </c>
      <c r="G24" s="43">
        <v>64193</v>
      </c>
    </row>
    <row r="25" spans="1:7" x14ac:dyDescent="0.2">
      <c r="A25" s="42" t="s">
        <v>164</v>
      </c>
      <c r="B25" s="20">
        <v>63745</v>
      </c>
      <c r="C25" s="20">
        <v>851</v>
      </c>
      <c r="D25" s="20">
        <v>43194</v>
      </c>
      <c r="E25" s="20">
        <v>4435</v>
      </c>
      <c r="F25" s="20">
        <v>48480</v>
      </c>
      <c r="G25" s="43">
        <v>26673</v>
      </c>
    </row>
    <row r="26" spans="1:7" x14ac:dyDescent="0.2">
      <c r="A26" s="42" t="s">
        <v>165</v>
      </c>
      <c r="B26" s="20">
        <v>158059</v>
      </c>
      <c r="C26" s="20">
        <v>4159</v>
      </c>
      <c r="D26" s="20">
        <v>61197</v>
      </c>
      <c r="E26" s="20">
        <v>24566</v>
      </c>
      <c r="F26" s="20">
        <v>89921</v>
      </c>
      <c r="G26" s="43">
        <v>30700</v>
      </c>
    </row>
    <row r="27" spans="1:7" x14ac:dyDescent="0.2">
      <c r="A27" s="42" t="s">
        <v>166</v>
      </c>
      <c r="B27" s="20">
        <v>250471</v>
      </c>
      <c r="C27" s="20">
        <v>6636</v>
      </c>
      <c r="D27" s="20">
        <v>86859</v>
      </c>
      <c r="E27" s="20">
        <v>38073</v>
      </c>
      <c r="F27" s="20">
        <v>131569</v>
      </c>
      <c r="G27" s="43">
        <v>42487</v>
      </c>
    </row>
    <row r="28" spans="1:7" x14ac:dyDescent="0.2">
      <c r="A28" s="42" t="s">
        <v>167</v>
      </c>
      <c r="B28" s="20">
        <v>337909</v>
      </c>
      <c r="C28" s="20">
        <v>9305</v>
      </c>
      <c r="D28" s="20">
        <v>137486</v>
      </c>
      <c r="E28" s="20">
        <v>42419</v>
      </c>
      <c r="F28" s="20">
        <v>189210</v>
      </c>
      <c r="G28" s="43">
        <v>74774</v>
      </c>
    </row>
    <row r="29" spans="1:7" x14ac:dyDescent="0.2">
      <c r="A29" s="42" t="s">
        <v>168</v>
      </c>
      <c r="B29" s="20">
        <v>228690</v>
      </c>
      <c r="C29" s="20">
        <v>5579</v>
      </c>
      <c r="D29" s="20">
        <v>104924</v>
      </c>
      <c r="E29" s="20">
        <v>36893</v>
      </c>
      <c r="F29" s="20">
        <v>147396</v>
      </c>
      <c r="G29" s="43">
        <v>53987</v>
      </c>
    </row>
    <row r="30" spans="1:7" x14ac:dyDescent="0.2">
      <c r="A30" s="42" t="s">
        <v>169</v>
      </c>
      <c r="B30" s="20">
        <v>78408</v>
      </c>
      <c r="C30" s="20">
        <v>1356</v>
      </c>
      <c r="D30" s="20">
        <v>49225</v>
      </c>
      <c r="E30" s="20">
        <v>4483</v>
      </c>
      <c r="F30" s="20">
        <v>55064</v>
      </c>
      <c r="G30" s="43">
        <v>30178</v>
      </c>
    </row>
    <row r="31" spans="1:7" x14ac:dyDescent="0.2">
      <c r="A31" s="42" t="s">
        <v>170</v>
      </c>
      <c r="B31" s="20">
        <v>228225</v>
      </c>
      <c r="C31" s="20">
        <v>5181</v>
      </c>
      <c r="D31" s="20">
        <v>94648</v>
      </c>
      <c r="E31" s="20">
        <v>27743</v>
      </c>
      <c r="F31" s="20">
        <v>127571</v>
      </c>
      <c r="G31" s="43">
        <v>53920</v>
      </c>
    </row>
    <row r="32" spans="1:7" x14ac:dyDescent="0.2">
      <c r="A32" s="42" t="s">
        <v>171</v>
      </c>
      <c r="B32" s="20">
        <v>161829</v>
      </c>
      <c r="C32" s="20">
        <v>2421</v>
      </c>
      <c r="D32" s="20">
        <v>75107</v>
      </c>
      <c r="E32" s="20">
        <v>8531</v>
      </c>
      <c r="F32" s="20">
        <v>86060</v>
      </c>
      <c r="G32" s="43">
        <v>45315</v>
      </c>
    </row>
    <row r="33" spans="1:7" x14ac:dyDescent="0.2">
      <c r="A33" s="42" t="s">
        <v>172</v>
      </c>
      <c r="B33" s="20">
        <v>94771</v>
      </c>
      <c r="C33" s="20">
        <v>1989</v>
      </c>
      <c r="D33" s="20">
        <v>46400</v>
      </c>
      <c r="E33" s="20">
        <v>7079</v>
      </c>
      <c r="F33" s="20">
        <v>55468</v>
      </c>
      <c r="G33" s="43">
        <v>28627</v>
      </c>
    </row>
    <row r="34" spans="1:7" x14ac:dyDescent="0.2">
      <c r="A34" s="42" t="s">
        <v>173</v>
      </c>
      <c r="B34" s="20">
        <v>318179</v>
      </c>
      <c r="C34" s="20">
        <v>8735</v>
      </c>
      <c r="D34" s="20">
        <v>94894</v>
      </c>
      <c r="E34" s="20">
        <v>47980</v>
      </c>
      <c r="F34" s="20">
        <v>151609</v>
      </c>
      <c r="G34" s="43">
        <v>38035</v>
      </c>
    </row>
    <row r="35" spans="1:7" x14ac:dyDescent="0.2">
      <c r="A35" s="42" t="s">
        <v>174</v>
      </c>
      <c r="B35" s="20">
        <v>29491</v>
      </c>
      <c r="C35" s="20">
        <v>605</v>
      </c>
      <c r="D35" s="20">
        <v>24811</v>
      </c>
      <c r="E35" s="20">
        <v>3248</v>
      </c>
      <c r="F35" s="20">
        <v>28664</v>
      </c>
      <c r="G35" s="43">
        <v>16074</v>
      </c>
    </row>
    <row r="36" spans="1:7" x14ac:dyDescent="0.2">
      <c r="A36" s="42" t="s">
        <v>175</v>
      </c>
      <c r="B36" s="20">
        <v>57723</v>
      </c>
      <c r="C36" s="20">
        <v>630</v>
      </c>
      <c r="D36" s="20">
        <v>77154</v>
      </c>
      <c r="E36" s="20">
        <v>44304</v>
      </c>
      <c r="F36" s="20">
        <v>122088</v>
      </c>
      <c r="G36" s="43">
        <v>25477</v>
      </c>
    </row>
    <row r="37" spans="1:7" x14ac:dyDescent="0.2">
      <c r="A37" s="42" t="s">
        <v>176</v>
      </c>
      <c r="B37" s="20">
        <v>63834</v>
      </c>
      <c r="C37" s="20">
        <v>1034</v>
      </c>
      <c r="D37" s="20">
        <v>40206</v>
      </c>
      <c r="E37" s="20">
        <v>6959</v>
      </c>
      <c r="F37" s="20">
        <v>48198</v>
      </c>
      <c r="G37" s="43">
        <v>25695</v>
      </c>
    </row>
    <row r="38" spans="1:7" x14ac:dyDescent="0.2">
      <c r="A38" s="42" t="s">
        <v>177</v>
      </c>
      <c r="B38" s="20">
        <v>698163</v>
      </c>
      <c r="C38" s="20">
        <v>20947</v>
      </c>
      <c r="D38" s="20">
        <v>236657</v>
      </c>
      <c r="E38" s="20">
        <v>104525</v>
      </c>
      <c r="F38" s="20">
        <v>362129</v>
      </c>
      <c r="G38" s="43">
        <v>104381</v>
      </c>
    </row>
    <row r="39" spans="1:7" x14ac:dyDescent="0.2">
      <c r="A39" s="42" t="s">
        <v>178</v>
      </c>
      <c r="B39" s="20">
        <v>379815</v>
      </c>
      <c r="C39" s="20">
        <v>10329</v>
      </c>
      <c r="D39" s="20">
        <v>167699</v>
      </c>
      <c r="E39" s="20">
        <v>64101</v>
      </c>
      <c r="F39" s="20">
        <v>242130</v>
      </c>
      <c r="G39" s="43">
        <v>84339</v>
      </c>
    </row>
    <row r="40" spans="1:7" x14ac:dyDescent="0.2">
      <c r="A40" s="42" t="s">
        <v>179</v>
      </c>
      <c r="B40" s="20">
        <v>157834</v>
      </c>
      <c r="C40" s="20">
        <v>2724</v>
      </c>
      <c r="D40" s="20">
        <v>81015</v>
      </c>
      <c r="E40" s="20">
        <v>5123</v>
      </c>
      <c r="F40" s="20">
        <v>88863</v>
      </c>
      <c r="G40" s="43">
        <v>56793</v>
      </c>
    </row>
    <row r="41" spans="1:7" x14ac:dyDescent="0.2">
      <c r="A41" s="42" t="s">
        <v>180</v>
      </c>
      <c r="B41" s="20">
        <v>206760</v>
      </c>
      <c r="C41" s="20">
        <v>4377</v>
      </c>
      <c r="D41" s="20">
        <v>104057</v>
      </c>
      <c r="E41" s="20">
        <v>22973</v>
      </c>
      <c r="F41" s="20">
        <v>131407</v>
      </c>
      <c r="G41" s="43">
        <v>64443</v>
      </c>
    </row>
    <row r="42" spans="1:7" x14ac:dyDescent="0.2">
      <c r="A42" s="42" t="s">
        <v>181</v>
      </c>
      <c r="B42" s="20">
        <v>108993</v>
      </c>
      <c r="C42" s="20">
        <v>1736</v>
      </c>
      <c r="D42" s="20">
        <v>63082</v>
      </c>
      <c r="E42" s="20">
        <v>9201</v>
      </c>
      <c r="F42" s="20">
        <v>74019</v>
      </c>
      <c r="G42" s="43">
        <v>42129</v>
      </c>
    </row>
    <row r="43" spans="1:7" x14ac:dyDescent="0.2">
      <c r="A43" s="42" t="s">
        <v>182</v>
      </c>
      <c r="B43" s="20">
        <v>201285</v>
      </c>
      <c r="C43" s="20">
        <v>4966</v>
      </c>
      <c r="D43" s="20">
        <v>86270</v>
      </c>
      <c r="E43" s="20">
        <v>23635</v>
      </c>
      <c r="F43" s="20">
        <v>114871</v>
      </c>
      <c r="G43" s="43">
        <v>50214</v>
      </c>
    </row>
    <row r="44" spans="1:7" x14ac:dyDescent="0.2">
      <c r="A44" s="42" t="s">
        <v>183</v>
      </c>
      <c r="B44" s="20">
        <v>349955</v>
      </c>
      <c r="C44" s="20">
        <v>8884</v>
      </c>
      <c r="D44" s="20">
        <v>145808</v>
      </c>
      <c r="E44" s="20">
        <v>44908</v>
      </c>
      <c r="F44" s="20">
        <v>199601</v>
      </c>
      <c r="G44" s="43">
        <v>73358</v>
      </c>
    </row>
    <row r="45" spans="1:7" x14ac:dyDescent="0.2">
      <c r="A45" s="42" t="s">
        <v>184</v>
      </c>
      <c r="B45" s="20">
        <v>62052</v>
      </c>
      <c r="C45" s="20">
        <v>925</v>
      </c>
      <c r="D45" s="20">
        <v>19455</v>
      </c>
      <c r="E45" s="20">
        <v>4163</v>
      </c>
      <c r="F45" s="20">
        <v>24543</v>
      </c>
      <c r="G45" s="43">
        <v>6408</v>
      </c>
    </row>
    <row r="46" spans="1:7" x14ac:dyDescent="0.2">
      <c r="A46" s="42" t="s">
        <v>185</v>
      </c>
      <c r="B46" s="20">
        <v>129473</v>
      </c>
      <c r="C46" s="20">
        <v>3181</v>
      </c>
      <c r="D46" s="20">
        <v>84651</v>
      </c>
      <c r="E46" s="20">
        <v>13769</v>
      </c>
      <c r="F46" s="20">
        <v>101601</v>
      </c>
      <c r="G46" s="43">
        <v>53534</v>
      </c>
    </row>
    <row r="47" spans="1:7" x14ac:dyDescent="0.2">
      <c r="A47" s="42" t="s">
        <v>186</v>
      </c>
      <c r="B47" s="20">
        <v>74791</v>
      </c>
      <c r="C47" s="20">
        <v>1393</v>
      </c>
      <c r="D47" s="20">
        <v>40812</v>
      </c>
      <c r="E47" s="20">
        <v>4117</v>
      </c>
      <c r="F47" s="20">
        <v>46322</v>
      </c>
      <c r="G47" s="43">
        <v>24508</v>
      </c>
    </row>
    <row r="48" spans="1:7" x14ac:dyDescent="0.2">
      <c r="A48" s="42" t="s">
        <v>187</v>
      </c>
      <c r="B48" s="20">
        <v>307583</v>
      </c>
      <c r="C48" s="20">
        <v>5003</v>
      </c>
      <c r="D48" s="20">
        <v>148069</v>
      </c>
      <c r="E48" s="20">
        <v>34401</v>
      </c>
      <c r="F48" s="20">
        <v>187473</v>
      </c>
      <c r="G48" s="43">
        <v>89349</v>
      </c>
    </row>
    <row r="49" spans="1:7" x14ac:dyDescent="0.2">
      <c r="A49" s="42" t="s">
        <v>188</v>
      </c>
      <c r="B49" s="20">
        <v>1100883</v>
      </c>
      <c r="C49" s="20">
        <v>31026</v>
      </c>
      <c r="D49" s="20">
        <v>436180</v>
      </c>
      <c r="E49" s="20">
        <v>172482</v>
      </c>
      <c r="F49" s="20">
        <v>639687</v>
      </c>
      <c r="G49" s="43">
        <v>227441</v>
      </c>
    </row>
    <row r="50" spans="1:7" x14ac:dyDescent="0.2">
      <c r="A50" s="42" t="s">
        <v>189</v>
      </c>
      <c r="B50" s="20">
        <v>150838</v>
      </c>
      <c r="C50" s="20">
        <v>3625</v>
      </c>
      <c r="D50" s="20">
        <v>88537</v>
      </c>
      <c r="E50" s="20">
        <v>25216</v>
      </c>
      <c r="F50" s="20">
        <v>117378</v>
      </c>
      <c r="G50" s="43">
        <v>46379</v>
      </c>
    </row>
    <row r="51" spans="1:7" x14ac:dyDescent="0.2">
      <c r="A51" s="42" t="s">
        <v>190</v>
      </c>
      <c r="B51" s="20">
        <v>21578</v>
      </c>
      <c r="C51" s="20">
        <v>361</v>
      </c>
      <c r="D51" s="20">
        <v>19252</v>
      </c>
      <c r="E51" s="20">
        <v>1981</v>
      </c>
      <c r="F51" s="20">
        <v>21594</v>
      </c>
      <c r="G51" s="43">
        <v>14094</v>
      </c>
    </row>
    <row r="52" spans="1:7" x14ac:dyDescent="0.2">
      <c r="A52" s="42" t="s">
        <v>191</v>
      </c>
      <c r="B52" s="20">
        <v>396733</v>
      </c>
      <c r="C52" s="20">
        <v>11627</v>
      </c>
      <c r="D52" s="20">
        <v>127899</v>
      </c>
      <c r="E52" s="20">
        <v>54698</v>
      </c>
      <c r="F52" s="20">
        <v>194224</v>
      </c>
      <c r="G52" s="43">
        <v>56240</v>
      </c>
    </row>
    <row r="53" spans="1:7" x14ac:dyDescent="0.2">
      <c r="A53" s="42" t="s">
        <v>192</v>
      </c>
      <c r="B53" s="20">
        <v>379042</v>
      </c>
      <c r="C53" s="20">
        <v>11289</v>
      </c>
      <c r="D53" s="20">
        <v>144934</v>
      </c>
      <c r="E53" s="20">
        <v>54283</v>
      </c>
      <c r="F53" s="20">
        <v>210507</v>
      </c>
      <c r="G53" s="43">
        <v>71125</v>
      </c>
    </row>
    <row r="54" spans="1:7" x14ac:dyDescent="0.2">
      <c r="A54" s="42" t="s">
        <v>193</v>
      </c>
      <c r="B54" s="20">
        <v>47246</v>
      </c>
      <c r="C54" s="20">
        <v>398</v>
      </c>
      <c r="D54" s="20">
        <v>34661</v>
      </c>
      <c r="E54" s="20">
        <v>2048</v>
      </c>
      <c r="F54" s="20">
        <v>37107</v>
      </c>
      <c r="G54" s="43">
        <v>21797</v>
      </c>
    </row>
    <row r="55" spans="1:7" x14ac:dyDescent="0.2">
      <c r="A55" s="42" t="s">
        <v>194</v>
      </c>
      <c r="B55" s="20">
        <v>146626</v>
      </c>
      <c r="C55" s="20">
        <v>3197</v>
      </c>
      <c r="D55" s="20">
        <v>82146</v>
      </c>
      <c r="E55" s="20">
        <v>13976</v>
      </c>
      <c r="F55" s="20">
        <v>99319</v>
      </c>
      <c r="G55" s="43">
        <v>52595</v>
      </c>
    </row>
    <row r="56" spans="1:7" x14ac:dyDescent="0.2">
      <c r="A56" s="42" t="s">
        <v>195</v>
      </c>
      <c r="B56" s="20">
        <v>116743</v>
      </c>
      <c r="C56" s="20">
        <v>1488</v>
      </c>
      <c r="D56" s="20">
        <v>49978</v>
      </c>
      <c r="E56" s="20">
        <v>3449</v>
      </c>
      <c r="F56" s="20">
        <v>54916</v>
      </c>
      <c r="G56" s="43">
        <v>34034</v>
      </c>
    </row>
    <row r="57" spans="1:7" x14ac:dyDescent="0.2">
      <c r="A57" s="42" t="s">
        <v>196</v>
      </c>
      <c r="B57" s="20">
        <v>9555</v>
      </c>
      <c r="C57" s="20">
        <v>80</v>
      </c>
      <c r="D57" s="20">
        <v>12692</v>
      </c>
      <c r="E57" s="20">
        <v>347</v>
      </c>
      <c r="F57" s="20">
        <v>13119</v>
      </c>
      <c r="G57" s="43">
        <v>11648</v>
      </c>
    </row>
    <row r="58" spans="1:7" x14ac:dyDescent="0.2">
      <c r="A58" s="42" t="s">
        <v>197</v>
      </c>
      <c r="B58" s="20">
        <v>42020</v>
      </c>
      <c r="C58" s="20">
        <v>796</v>
      </c>
      <c r="D58" s="20">
        <v>22679</v>
      </c>
      <c r="E58" s="20">
        <v>3941</v>
      </c>
      <c r="F58" s="20">
        <v>27416</v>
      </c>
      <c r="G58" s="43">
        <v>13961</v>
      </c>
    </row>
    <row r="59" spans="1:7" x14ac:dyDescent="0.2">
      <c r="A59" s="42" t="s">
        <v>198</v>
      </c>
      <c r="B59" s="20">
        <v>26210</v>
      </c>
      <c r="C59" s="20">
        <v>843</v>
      </c>
      <c r="D59" s="20">
        <v>12095</v>
      </c>
      <c r="E59" s="20">
        <v>2273</v>
      </c>
      <c r="F59" s="20">
        <v>15211</v>
      </c>
      <c r="G59" s="43">
        <v>6275</v>
      </c>
    </row>
    <row r="60" spans="1:7" x14ac:dyDescent="0.2">
      <c r="A60" s="42" t="s">
        <v>199</v>
      </c>
      <c r="B60" s="20">
        <v>99624</v>
      </c>
      <c r="C60" s="20">
        <v>1732</v>
      </c>
      <c r="D60" s="20">
        <v>43672</v>
      </c>
      <c r="E60" s="20">
        <v>11956</v>
      </c>
      <c r="F60" s="20">
        <v>57360</v>
      </c>
      <c r="G60" s="43">
        <v>15306</v>
      </c>
    </row>
    <row r="61" spans="1:7" x14ac:dyDescent="0.2">
      <c r="A61" s="42" t="s">
        <v>200</v>
      </c>
      <c r="B61" s="20">
        <v>21450</v>
      </c>
      <c r="C61" s="20">
        <v>78</v>
      </c>
      <c r="D61" s="20">
        <v>7713</v>
      </c>
      <c r="E61" s="20">
        <v>0</v>
      </c>
      <c r="F61" s="20">
        <v>7792</v>
      </c>
      <c r="G61" s="43">
        <v>7718</v>
      </c>
    </row>
    <row r="62" spans="1:7" x14ac:dyDescent="0.2">
      <c r="A62" s="42" t="s">
        <v>201</v>
      </c>
      <c r="B62" s="20">
        <v>48016</v>
      </c>
      <c r="C62" s="20">
        <v>1452</v>
      </c>
      <c r="D62" s="20">
        <v>8845</v>
      </c>
      <c r="E62" s="20">
        <v>1730</v>
      </c>
      <c r="F62" s="20">
        <v>12028</v>
      </c>
      <c r="G62" s="43">
        <v>4956</v>
      </c>
    </row>
    <row r="63" spans="1:7" x14ac:dyDescent="0.2">
      <c r="A63" s="42" t="s">
        <v>202</v>
      </c>
      <c r="B63" s="20">
        <v>0</v>
      </c>
      <c r="C63" s="20">
        <v>0</v>
      </c>
      <c r="D63" s="20">
        <v>228</v>
      </c>
      <c r="E63" s="20">
        <v>0</v>
      </c>
      <c r="F63" s="20">
        <v>228</v>
      </c>
      <c r="G63" s="43">
        <v>0</v>
      </c>
    </row>
    <row r="64" spans="1:7" x14ac:dyDescent="0.2">
      <c r="A64" s="42" t="s">
        <v>203</v>
      </c>
      <c r="B64" s="20">
        <v>0</v>
      </c>
      <c r="C64" s="20">
        <v>0</v>
      </c>
      <c r="D64" s="20">
        <v>0</v>
      </c>
      <c r="E64" s="20">
        <v>0</v>
      </c>
      <c r="F64" s="20">
        <v>0</v>
      </c>
      <c r="G64" s="43">
        <v>0</v>
      </c>
    </row>
    <row r="65" spans="1:7" ht="15" customHeight="1" x14ac:dyDescent="0.2">
      <c r="A65" s="44" t="s">
        <v>204</v>
      </c>
      <c r="B65" s="45">
        <v>13675723</v>
      </c>
      <c r="C65" s="45">
        <v>341471</v>
      </c>
      <c r="D65" s="45">
        <v>6141537</v>
      </c>
      <c r="E65" s="45">
        <v>1847985</v>
      </c>
      <c r="F65" s="45">
        <v>8038200</v>
      </c>
      <c r="G65" s="51">
        <v>3166874</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pageSetUpPr fitToPage="1"/>
  </sheetPr>
  <dimension ref="A1:G71"/>
  <sheetViews>
    <sheetView workbookViewId="0"/>
  </sheetViews>
  <sheetFormatPr defaultRowHeight="12.75" x14ac:dyDescent="0.2"/>
  <cols>
    <col min="1" max="1" width="30.7109375" customWidth="1"/>
    <col min="2" max="7" width="11.7109375" customWidth="1"/>
  </cols>
  <sheetData>
    <row r="1" spans="1:7" ht="38.25" customHeight="1" x14ac:dyDescent="0.2">
      <c r="A1" s="15" t="s">
        <v>250</v>
      </c>
      <c r="B1" s="16"/>
      <c r="C1" s="16"/>
      <c r="D1" s="16"/>
      <c r="E1" s="16"/>
      <c r="F1" s="16"/>
      <c r="G1" s="15" t="s">
        <v>251</v>
      </c>
    </row>
    <row r="2" spans="1:7" x14ac:dyDescent="0.2">
      <c r="A2" s="17" t="s">
        <v>360</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928418</v>
      </c>
      <c r="C6" s="20">
        <v>38331</v>
      </c>
      <c r="D6" s="20">
        <v>858820</v>
      </c>
      <c r="E6" s="20">
        <v>0</v>
      </c>
      <c r="F6" s="20">
        <v>897151</v>
      </c>
      <c r="G6" s="43">
        <v>864810</v>
      </c>
    </row>
    <row r="7" spans="1:7" x14ac:dyDescent="0.2">
      <c r="A7" s="42" t="s">
        <v>146</v>
      </c>
      <c r="B7" s="20">
        <v>718938</v>
      </c>
      <c r="C7" s="20">
        <v>68719</v>
      </c>
      <c r="D7" s="20">
        <v>569089</v>
      </c>
      <c r="E7" s="20">
        <v>0</v>
      </c>
      <c r="F7" s="20">
        <v>637808</v>
      </c>
      <c r="G7" s="43">
        <v>587577</v>
      </c>
    </row>
    <row r="8" spans="1:7" x14ac:dyDescent="0.2">
      <c r="A8" s="42" t="s">
        <v>147</v>
      </c>
      <c r="B8" s="20">
        <v>766066</v>
      </c>
      <c r="C8" s="20">
        <v>59448</v>
      </c>
      <c r="D8" s="20">
        <v>813967</v>
      </c>
      <c r="E8" s="20">
        <v>0</v>
      </c>
      <c r="F8" s="20">
        <v>873415</v>
      </c>
      <c r="G8" s="43">
        <v>815800</v>
      </c>
    </row>
    <row r="9" spans="1:7" x14ac:dyDescent="0.2">
      <c r="A9" s="42" t="s">
        <v>148</v>
      </c>
      <c r="B9" s="20">
        <v>669817</v>
      </c>
      <c r="C9" s="20">
        <v>17039</v>
      </c>
      <c r="D9" s="20">
        <v>577124</v>
      </c>
      <c r="E9" s="20">
        <v>0</v>
      </c>
      <c r="F9" s="20">
        <v>594163</v>
      </c>
      <c r="G9" s="43">
        <v>584446</v>
      </c>
    </row>
    <row r="10" spans="1:7" x14ac:dyDescent="0.2">
      <c r="A10" s="42" t="s">
        <v>149</v>
      </c>
      <c r="B10" s="20">
        <v>4324868</v>
      </c>
      <c r="C10" s="20">
        <v>410345</v>
      </c>
      <c r="D10" s="20">
        <v>4040506</v>
      </c>
      <c r="E10" s="20">
        <v>0</v>
      </c>
      <c r="F10" s="20">
        <v>4450851</v>
      </c>
      <c r="G10" s="43">
        <v>4327165</v>
      </c>
    </row>
    <row r="11" spans="1:7" x14ac:dyDescent="0.2">
      <c r="A11" s="42" t="s">
        <v>150</v>
      </c>
      <c r="B11" s="20">
        <v>656662</v>
      </c>
      <c r="C11" s="20">
        <v>35475</v>
      </c>
      <c r="D11" s="20">
        <v>605111</v>
      </c>
      <c r="E11" s="20">
        <v>0</v>
      </c>
      <c r="F11" s="20">
        <v>640586</v>
      </c>
      <c r="G11" s="43">
        <v>641174</v>
      </c>
    </row>
    <row r="12" spans="1:7" x14ac:dyDescent="0.2">
      <c r="A12" s="42" t="s">
        <v>151</v>
      </c>
      <c r="B12" s="20">
        <v>635937</v>
      </c>
      <c r="C12" s="20">
        <v>67306</v>
      </c>
      <c r="D12" s="20">
        <v>573109</v>
      </c>
      <c r="E12" s="20">
        <v>0</v>
      </c>
      <c r="F12" s="20">
        <v>640415</v>
      </c>
      <c r="G12" s="43">
        <v>576800</v>
      </c>
    </row>
    <row r="13" spans="1:7" x14ac:dyDescent="0.2">
      <c r="A13" s="42" t="s">
        <v>152</v>
      </c>
      <c r="B13" s="20">
        <v>227629</v>
      </c>
      <c r="C13" s="20">
        <v>21491</v>
      </c>
      <c r="D13" s="20">
        <v>196380</v>
      </c>
      <c r="E13" s="20">
        <v>0</v>
      </c>
      <c r="F13" s="20">
        <v>217871</v>
      </c>
      <c r="G13" s="43">
        <v>197479</v>
      </c>
    </row>
    <row r="14" spans="1:7" x14ac:dyDescent="0.2">
      <c r="A14" s="42" t="s">
        <v>153</v>
      </c>
      <c r="B14" s="20">
        <v>186317</v>
      </c>
      <c r="C14" s="20">
        <v>25392</v>
      </c>
      <c r="D14" s="20">
        <v>180647</v>
      </c>
      <c r="E14" s="20">
        <v>0</v>
      </c>
      <c r="F14" s="20">
        <v>206039</v>
      </c>
      <c r="G14" s="43">
        <v>180558</v>
      </c>
    </row>
    <row r="15" spans="1:7" x14ac:dyDescent="0.2">
      <c r="A15" s="42" t="s">
        <v>154</v>
      </c>
      <c r="B15" s="20">
        <v>2271207</v>
      </c>
      <c r="C15" s="20">
        <v>93106</v>
      </c>
      <c r="D15" s="20">
        <v>2100808</v>
      </c>
      <c r="E15" s="20">
        <v>0</v>
      </c>
      <c r="F15" s="20">
        <v>2193914</v>
      </c>
      <c r="G15" s="43">
        <v>2102772</v>
      </c>
    </row>
    <row r="16" spans="1:7" x14ac:dyDescent="0.2">
      <c r="A16" s="42" t="s">
        <v>155</v>
      </c>
      <c r="B16" s="20">
        <v>1361002</v>
      </c>
      <c r="C16" s="20">
        <v>117142</v>
      </c>
      <c r="D16" s="20">
        <v>1435058</v>
      </c>
      <c r="E16" s="20">
        <v>0</v>
      </c>
      <c r="F16" s="20">
        <v>1552200</v>
      </c>
      <c r="G16" s="43">
        <v>1434459</v>
      </c>
    </row>
    <row r="17" spans="1:7" x14ac:dyDescent="0.2">
      <c r="A17" s="42" t="s">
        <v>156</v>
      </c>
      <c r="B17" s="20">
        <v>241931</v>
      </c>
      <c r="C17" s="20">
        <v>55050</v>
      </c>
      <c r="D17" s="20">
        <v>188907</v>
      </c>
      <c r="E17" s="20">
        <v>0</v>
      </c>
      <c r="F17" s="20">
        <v>243957</v>
      </c>
      <c r="G17" s="43">
        <v>225086</v>
      </c>
    </row>
    <row r="18" spans="1:7" x14ac:dyDescent="0.2">
      <c r="A18" s="42" t="s">
        <v>157</v>
      </c>
      <c r="B18" s="20">
        <v>345381</v>
      </c>
      <c r="C18" s="20">
        <v>4651</v>
      </c>
      <c r="D18" s="20">
        <v>325139</v>
      </c>
      <c r="E18" s="20">
        <v>0</v>
      </c>
      <c r="F18" s="20">
        <v>329790</v>
      </c>
      <c r="G18" s="43">
        <v>324979</v>
      </c>
    </row>
    <row r="19" spans="1:7" x14ac:dyDescent="0.2">
      <c r="A19" s="42" t="s">
        <v>158</v>
      </c>
      <c r="B19" s="20">
        <v>1658289</v>
      </c>
      <c r="C19" s="20">
        <v>139929</v>
      </c>
      <c r="D19" s="20">
        <v>1593431</v>
      </c>
      <c r="E19" s="20">
        <v>0</v>
      </c>
      <c r="F19" s="20">
        <v>1733360</v>
      </c>
      <c r="G19" s="43">
        <v>1592667</v>
      </c>
    </row>
    <row r="20" spans="1:7" x14ac:dyDescent="0.2">
      <c r="A20" s="42" t="s">
        <v>159</v>
      </c>
      <c r="B20" s="20">
        <v>1169934</v>
      </c>
      <c r="C20" s="20">
        <v>77408</v>
      </c>
      <c r="D20" s="20">
        <v>1059322</v>
      </c>
      <c r="E20" s="20">
        <v>0</v>
      </c>
      <c r="F20" s="20">
        <v>1136730</v>
      </c>
      <c r="G20" s="43">
        <v>1061255</v>
      </c>
    </row>
    <row r="21" spans="1:7" x14ac:dyDescent="0.2">
      <c r="A21" s="42" t="s">
        <v>160</v>
      </c>
      <c r="B21" s="20">
        <v>708447</v>
      </c>
      <c r="C21" s="20">
        <v>56480</v>
      </c>
      <c r="D21" s="20">
        <v>561822</v>
      </c>
      <c r="E21" s="20">
        <v>0</v>
      </c>
      <c r="F21" s="20">
        <v>618302</v>
      </c>
      <c r="G21" s="43">
        <v>570340</v>
      </c>
    </row>
    <row r="22" spans="1:7" x14ac:dyDescent="0.2">
      <c r="A22" s="42" t="s">
        <v>161</v>
      </c>
      <c r="B22" s="20">
        <v>420962</v>
      </c>
      <c r="C22" s="20">
        <v>55114</v>
      </c>
      <c r="D22" s="20">
        <v>423273</v>
      </c>
      <c r="E22" s="20">
        <v>0</v>
      </c>
      <c r="F22" s="20">
        <v>478387</v>
      </c>
      <c r="G22" s="43">
        <v>425530</v>
      </c>
    </row>
    <row r="23" spans="1:7" x14ac:dyDescent="0.2">
      <c r="A23" s="42" t="s">
        <v>162</v>
      </c>
      <c r="B23" s="20">
        <v>826044</v>
      </c>
      <c r="C23" s="20">
        <v>63952</v>
      </c>
      <c r="D23" s="20">
        <v>750735</v>
      </c>
      <c r="E23" s="20">
        <v>0</v>
      </c>
      <c r="F23" s="20">
        <v>814687</v>
      </c>
      <c r="G23" s="43">
        <v>785245</v>
      </c>
    </row>
    <row r="24" spans="1:7" x14ac:dyDescent="0.2">
      <c r="A24" s="42" t="s">
        <v>163</v>
      </c>
      <c r="B24" s="20">
        <v>803647</v>
      </c>
      <c r="C24" s="20">
        <v>142829</v>
      </c>
      <c r="D24" s="20">
        <v>789821</v>
      </c>
      <c r="E24" s="20">
        <v>0</v>
      </c>
      <c r="F24" s="20">
        <v>932650</v>
      </c>
      <c r="G24" s="43">
        <v>800678</v>
      </c>
    </row>
    <row r="25" spans="1:7" x14ac:dyDescent="0.2">
      <c r="A25" s="42" t="s">
        <v>164</v>
      </c>
      <c r="B25" s="20">
        <v>266868</v>
      </c>
      <c r="C25" s="20">
        <v>55060</v>
      </c>
      <c r="D25" s="20">
        <v>218962</v>
      </c>
      <c r="E25" s="20">
        <v>0</v>
      </c>
      <c r="F25" s="20">
        <v>274022</v>
      </c>
      <c r="G25" s="43">
        <v>218859</v>
      </c>
    </row>
    <row r="26" spans="1:7" x14ac:dyDescent="0.2">
      <c r="A26" s="42" t="s">
        <v>165</v>
      </c>
      <c r="B26" s="20">
        <v>644640</v>
      </c>
      <c r="C26" s="20">
        <v>22538</v>
      </c>
      <c r="D26" s="20">
        <v>671771</v>
      </c>
      <c r="E26" s="20">
        <v>0</v>
      </c>
      <c r="F26" s="20">
        <v>694309</v>
      </c>
      <c r="G26" s="43">
        <v>671486</v>
      </c>
    </row>
    <row r="27" spans="1:7" x14ac:dyDescent="0.2">
      <c r="A27" s="42" t="s">
        <v>166</v>
      </c>
      <c r="B27" s="20">
        <v>714859</v>
      </c>
      <c r="C27" s="20">
        <v>137459</v>
      </c>
      <c r="D27" s="20">
        <v>693095</v>
      </c>
      <c r="E27" s="20">
        <v>0</v>
      </c>
      <c r="F27" s="20">
        <v>830554</v>
      </c>
      <c r="G27" s="43">
        <v>692756</v>
      </c>
    </row>
    <row r="28" spans="1:7" x14ac:dyDescent="0.2">
      <c r="A28" s="42" t="s">
        <v>167</v>
      </c>
      <c r="B28" s="20">
        <v>1251147</v>
      </c>
      <c r="C28" s="20">
        <v>173644</v>
      </c>
      <c r="D28" s="20">
        <v>1181945</v>
      </c>
      <c r="E28" s="20">
        <v>0</v>
      </c>
      <c r="F28" s="20">
        <v>1355589</v>
      </c>
      <c r="G28" s="43">
        <v>1215947</v>
      </c>
    </row>
    <row r="29" spans="1:7" x14ac:dyDescent="0.2">
      <c r="A29" s="42" t="s">
        <v>168</v>
      </c>
      <c r="B29" s="20">
        <v>722954</v>
      </c>
      <c r="C29" s="20">
        <v>22849</v>
      </c>
      <c r="D29" s="20">
        <v>721289</v>
      </c>
      <c r="E29" s="20">
        <v>0</v>
      </c>
      <c r="F29" s="20">
        <v>744138</v>
      </c>
      <c r="G29" s="43">
        <v>729725</v>
      </c>
    </row>
    <row r="30" spans="1:7" x14ac:dyDescent="0.2">
      <c r="A30" s="42" t="s">
        <v>169</v>
      </c>
      <c r="B30" s="20">
        <v>667918</v>
      </c>
      <c r="C30" s="20">
        <v>79450</v>
      </c>
      <c r="D30" s="20">
        <v>537840</v>
      </c>
      <c r="E30" s="20">
        <v>0</v>
      </c>
      <c r="F30" s="20">
        <v>617290</v>
      </c>
      <c r="G30" s="43">
        <v>548959</v>
      </c>
    </row>
    <row r="31" spans="1:7" x14ac:dyDescent="0.2">
      <c r="A31" s="42" t="s">
        <v>170</v>
      </c>
      <c r="B31" s="20">
        <v>1140856</v>
      </c>
      <c r="C31" s="20">
        <v>180714</v>
      </c>
      <c r="D31" s="20">
        <v>1057896</v>
      </c>
      <c r="E31" s="20">
        <v>0</v>
      </c>
      <c r="F31" s="20">
        <v>1238610</v>
      </c>
      <c r="G31" s="43">
        <v>1072353</v>
      </c>
    </row>
    <row r="32" spans="1:7" x14ac:dyDescent="0.2">
      <c r="A32" s="42" t="s">
        <v>171</v>
      </c>
      <c r="B32" s="20">
        <v>551241</v>
      </c>
      <c r="C32" s="20">
        <v>36893</v>
      </c>
      <c r="D32" s="20">
        <v>467356</v>
      </c>
      <c r="E32" s="20">
        <v>0</v>
      </c>
      <c r="F32" s="20">
        <v>504249</v>
      </c>
      <c r="G32" s="43">
        <v>471456</v>
      </c>
    </row>
    <row r="33" spans="1:7" x14ac:dyDescent="0.2">
      <c r="A33" s="42" t="s">
        <v>172</v>
      </c>
      <c r="B33" s="20">
        <v>503206</v>
      </c>
      <c r="C33" s="20">
        <v>43218</v>
      </c>
      <c r="D33" s="20">
        <v>329066</v>
      </c>
      <c r="E33" s="20">
        <v>0</v>
      </c>
      <c r="F33" s="20">
        <v>372284</v>
      </c>
      <c r="G33" s="43">
        <v>338363</v>
      </c>
    </row>
    <row r="34" spans="1:7" x14ac:dyDescent="0.2">
      <c r="A34" s="42" t="s">
        <v>173</v>
      </c>
      <c r="B34" s="20">
        <v>420664</v>
      </c>
      <c r="C34" s="20">
        <v>43844</v>
      </c>
      <c r="D34" s="20">
        <v>404206</v>
      </c>
      <c r="E34" s="20">
        <v>0</v>
      </c>
      <c r="F34" s="20">
        <v>448050</v>
      </c>
      <c r="G34" s="43">
        <v>405795</v>
      </c>
    </row>
    <row r="35" spans="1:7" x14ac:dyDescent="0.2">
      <c r="A35" s="42" t="s">
        <v>174</v>
      </c>
      <c r="B35" s="20">
        <v>192019</v>
      </c>
      <c r="C35" s="20">
        <v>58281</v>
      </c>
      <c r="D35" s="20">
        <v>197469</v>
      </c>
      <c r="E35" s="20">
        <v>0</v>
      </c>
      <c r="F35" s="20">
        <v>255750</v>
      </c>
      <c r="G35" s="43">
        <v>197376</v>
      </c>
    </row>
    <row r="36" spans="1:7" x14ac:dyDescent="0.2">
      <c r="A36" s="42" t="s">
        <v>175</v>
      </c>
      <c r="B36" s="20">
        <v>1105701</v>
      </c>
      <c r="C36" s="20">
        <v>107849</v>
      </c>
      <c r="D36" s="20">
        <v>1117810</v>
      </c>
      <c r="E36" s="20">
        <v>0</v>
      </c>
      <c r="F36" s="20">
        <v>1225659</v>
      </c>
      <c r="G36" s="43">
        <v>1117252</v>
      </c>
    </row>
    <row r="37" spans="1:7" x14ac:dyDescent="0.2">
      <c r="A37" s="42" t="s">
        <v>176</v>
      </c>
      <c r="B37" s="20">
        <v>435857</v>
      </c>
      <c r="C37" s="20">
        <v>10879</v>
      </c>
      <c r="D37" s="20">
        <v>407259</v>
      </c>
      <c r="E37" s="20">
        <v>0</v>
      </c>
      <c r="F37" s="20">
        <v>418138</v>
      </c>
      <c r="G37" s="43">
        <v>414813</v>
      </c>
    </row>
    <row r="38" spans="1:7" x14ac:dyDescent="0.2">
      <c r="A38" s="42" t="s">
        <v>177</v>
      </c>
      <c r="B38" s="20">
        <v>1476231</v>
      </c>
      <c r="C38" s="20">
        <v>360912</v>
      </c>
      <c r="D38" s="20">
        <v>1876155</v>
      </c>
      <c r="E38" s="20">
        <v>0</v>
      </c>
      <c r="F38" s="20">
        <v>2237067</v>
      </c>
      <c r="G38" s="43">
        <v>1933212</v>
      </c>
    </row>
    <row r="39" spans="1:7" x14ac:dyDescent="0.2">
      <c r="A39" s="42" t="s">
        <v>178</v>
      </c>
      <c r="B39" s="20">
        <v>1372940</v>
      </c>
      <c r="C39" s="20">
        <v>40804</v>
      </c>
      <c r="D39" s="20">
        <v>1176044</v>
      </c>
      <c r="E39" s="20">
        <v>0</v>
      </c>
      <c r="F39" s="20">
        <v>1216848</v>
      </c>
      <c r="G39" s="43">
        <v>1184782</v>
      </c>
    </row>
    <row r="40" spans="1:7" x14ac:dyDescent="0.2">
      <c r="A40" s="42" t="s">
        <v>179</v>
      </c>
      <c r="B40" s="20">
        <v>312044</v>
      </c>
      <c r="C40" s="20">
        <v>8100</v>
      </c>
      <c r="D40" s="20">
        <v>283111</v>
      </c>
      <c r="E40" s="20">
        <v>0</v>
      </c>
      <c r="F40" s="20">
        <v>291211</v>
      </c>
      <c r="G40" s="43">
        <v>289184</v>
      </c>
    </row>
    <row r="41" spans="1:7" x14ac:dyDescent="0.2">
      <c r="A41" s="42" t="s">
        <v>180</v>
      </c>
      <c r="B41" s="20">
        <v>1488996</v>
      </c>
      <c r="C41" s="20">
        <v>43134</v>
      </c>
      <c r="D41" s="20">
        <v>1490926</v>
      </c>
      <c r="E41" s="20">
        <v>0</v>
      </c>
      <c r="F41" s="20">
        <v>1534060</v>
      </c>
      <c r="G41" s="43">
        <v>1496192</v>
      </c>
    </row>
    <row r="42" spans="1:7" x14ac:dyDescent="0.2">
      <c r="A42" s="42" t="s">
        <v>181</v>
      </c>
      <c r="B42" s="20">
        <v>750245</v>
      </c>
      <c r="C42" s="20">
        <v>84102</v>
      </c>
      <c r="D42" s="20">
        <v>712981</v>
      </c>
      <c r="E42" s="20">
        <v>0</v>
      </c>
      <c r="F42" s="20">
        <v>797083</v>
      </c>
      <c r="G42" s="43">
        <v>720041</v>
      </c>
    </row>
    <row r="43" spans="1:7" x14ac:dyDescent="0.2">
      <c r="A43" s="42" t="s">
        <v>182</v>
      </c>
      <c r="B43" s="20">
        <v>598842</v>
      </c>
      <c r="C43" s="20">
        <v>64041</v>
      </c>
      <c r="D43" s="20">
        <v>558998</v>
      </c>
      <c r="E43" s="20">
        <v>0</v>
      </c>
      <c r="F43" s="20">
        <v>623039</v>
      </c>
      <c r="G43" s="43">
        <v>577677</v>
      </c>
    </row>
    <row r="44" spans="1:7" x14ac:dyDescent="0.2">
      <c r="A44" s="42" t="s">
        <v>183</v>
      </c>
      <c r="B44" s="20">
        <v>1949561</v>
      </c>
      <c r="C44" s="20">
        <v>139699</v>
      </c>
      <c r="D44" s="20">
        <v>1833150</v>
      </c>
      <c r="E44" s="20">
        <v>0</v>
      </c>
      <c r="F44" s="20">
        <v>1972849</v>
      </c>
      <c r="G44" s="43">
        <v>1835833</v>
      </c>
    </row>
    <row r="45" spans="1:7" x14ac:dyDescent="0.2">
      <c r="A45" s="42" t="s">
        <v>184</v>
      </c>
      <c r="B45" s="20">
        <v>288428</v>
      </c>
      <c r="C45" s="20">
        <v>109595</v>
      </c>
      <c r="D45" s="20">
        <v>269832</v>
      </c>
      <c r="E45" s="20">
        <v>0</v>
      </c>
      <c r="F45" s="20">
        <v>379427</v>
      </c>
      <c r="G45" s="43">
        <v>271970</v>
      </c>
    </row>
    <row r="46" spans="1:7" x14ac:dyDescent="0.2">
      <c r="A46" s="42" t="s">
        <v>185</v>
      </c>
      <c r="B46" s="20">
        <v>782361</v>
      </c>
      <c r="C46" s="20">
        <v>96038</v>
      </c>
      <c r="D46" s="20">
        <v>752703</v>
      </c>
      <c r="E46" s="20">
        <v>0</v>
      </c>
      <c r="F46" s="20">
        <v>848741</v>
      </c>
      <c r="G46" s="43">
        <v>753205</v>
      </c>
    </row>
    <row r="47" spans="1:7" x14ac:dyDescent="0.2">
      <c r="A47" s="42" t="s">
        <v>186</v>
      </c>
      <c r="B47" s="20">
        <v>352878</v>
      </c>
      <c r="C47" s="20">
        <v>77073</v>
      </c>
      <c r="D47" s="20">
        <v>324785</v>
      </c>
      <c r="E47" s="20">
        <v>0</v>
      </c>
      <c r="F47" s="20">
        <v>401858</v>
      </c>
      <c r="G47" s="43">
        <v>328819</v>
      </c>
    </row>
    <row r="48" spans="1:7" x14ac:dyDescent="0.2">
      <c r="A48" s="42" t="s">
        <v>187</v>
      </c>
      <c r="B48" s="20">
        <v>1096988</v>
      </c>
      <c r="C48" s="20">
        <v>103950</v>
      </c>
      <c r="D48" s="20">
        <v>931802</v>
      </c>
      <c r="E48" s="20">
        <v>0</v>
      </c>
      <c r="F48" s="20">
        <v>1035752</v>
      </c>
      <c r="G48" s="43">
        <v>960048</v>
      </c>
    </row>
    <row r="49" spans="1:7" x14ac:dyDescent="0.2">
      <c r="A49" s="42" t="s">
        <v>188</v>
      </c>
      <c r="B49" s="20">
        <v>4052962</v>
      </c>
      <c r="C49" s="20">
        <v>521696</v>
      </c>
      <c r="D49" s="20">
        <v>4322156</v>
      </c>
      <c r="E49" s="20">
        <v>0</v>
      </c>
      <c r="F49" s="20">
        <v>4843852</v>
      </c>
      <c r="G49" s="43">
        <v>4333213</v>
      </c>
    </row>
    <row r="50" spans="1:7" x14ac:dyDescent="0.2">
      <c r="A50" s="42" t="s">
        <v>189</v>
      </c>
      <c r="B50" s="20">
        <v>429041</v>
      </c>
      <c r="C50" s="20">
        <v>38347</v>
      </c>
      <c r="D50" s="20">
        <v>388397</v>
      </c>
      <c r="E50" s="20">
        <v>0</v>
      </c>
      <c r="F50" s="20">
        <v>426744</v>
      </c>
      <c r="G50" s="43">
        <v>388747</v>
      </c>
    </row>
    <row r="51" spans="1:7" x14ac:dyDescent="0.2">
      <c r="A51" s="42" t="s">
        <v>190</v>
      </c>
      <c r="B51" s="20">
        <v>227901</v>
      </c>
      <c r="C51" s="20">
        <v>41068</v>
      </c>
      <c r="D51" s="20">
        <v>227885</v>
      </c>
      <c r="E51" s="20">
        <v>0</v>
      </c>
      <c r="F51" s="20">
        <v>268953</v>
      </c>
      <c r="G51" s="43">
        <v>232819</v>
      </c>
    </row>
    <row r="52" spans="1:7" x14ac:dyDescent="0.2">
      <c r="A52" s="42" t="s">
        <v>191</v>
      </c>
      <c r="B52" s="20">
        <v>1070676</v>
      </c>
      <c r="C52" s="20">
        <v>65507</v>
      </c>
      <c r="D52" s="20">
        <v>1125449</v>
      </c>
      <c r="E52" s="20">
        <v>0</v>
      </c>
      <c r="F52" s="20">
        <v>1190956</v>
      </c>
      <c r="G52" s="43">
        <v>1134666</v>
      </c>
    </row>
    <row r="53" spans="1:7" x14ac:dyDescent="0.2">
      <c r="A53" s="42" t="s">
        <v>192</v>
      </c>
      <c r="B53" s="20">
        <v>770579</v>
      </c>
      <c r="C53" s="20">
        <v>67837</v>
      </c>
      <c r="D53" s="20">
        <v>762370</v>
      </c>
      <c r="E53" s="20">
        <v>0</v>
      </c>
      <c r="F53" s="20">
        <v>830207</v>
      </c>
      <c r="G53" s="43">
        <v>768488</v>
      </c>
    </row>
    <row r="54" spans="1:7" x14ac:dyDescent="0.2">
      <c r="A54" s="42" t="s">
        <v>193</v>
      </c>
      <c r="B54" s="20">
        <v>541226</v>
      </c>
      <c r="C54" s="20">
        <v>144116</v>
      </c>
      <c r="D54" s="20">
        <v>515811</v>
      </c>
      <c r="E54" s="20">
        <v>0</v>
      </c>
      <c r="F54" s="20">
        <v>659927</v>
      </c>
      <c r="G54" s="43">
        <v>515567</v>
      </c>
    </row>
    <row r="55" spans="1:7" x14ac:dyDescent="0.2">
      <c r="A55" s="42" t="s">
        <v>194</v>
      </c>
      <c r="B55" s="20">
        <v>822420</v>
      </c>
      <c r="C55" s="20">
        <v>63495</v>
      </c>
      <c r="D55" s="20">
        <v>840323</v>
      </c>
      <c r="E55" s="20">
        <v>0</v>
      </c>
      <c r="F55" s="20">
        <v>903818</v>
      </c>
      <c r="G55" s="43">
        <v>839903</v>
      </c>
    </row>
    <row r="56" spans="1:7" x14ac:dyDescent="0.2">
      <c r="A56" s="42" t="s">
        <v>195</v>
      </c>
      <c r="B56" s="20">
        <v>345316</v>
      </c>
      <c r="C56" s="20">
        <v>71727</v>
      </c>
      <c r="D56" s="20">
        <v>299561</v>
      </c>
      <c r="E56" s="20">
        <v>0</v>
      </c>
      <c r="F56" s="20">
        <v>371288</v>
      </c>
      <c r="G56" s="43">
        <v>299418</v>
      </c>
    </row>
    <row r="57" spans="1:7" x14ac:dyDescent="0.2">
      <c r="A57" s="42" t="s">
        <v>196</v>
      </c>
      <c r="B57" s="20">
        <v>13127</v>
      </c>
      <c r="C57" s="20">
        <v>150</v>
      </c>
      <c r="D57" s="20">
        <v>11226</v>
      </c>
      <c r="E57" s="20">
        <v>0</v>
      </c>
      <c r="F57" s="20">
        <v>11376</v>
      </c>
      <c r="G57" s="43">
        <v>11226</v>
      </c>
    </row>
    <row r="58" spans="1:7" x14ac:dyDescent="0.2">
      <c r="A58" s="42" t="s">
        <v>197</v>
      </c>
      <c r="B58" s="20">
        <v>14544</v>
      </c>
      <c r="C58" s="20">
        <v>3728</v>
      </c>
      <c r="D58" s="20">
        <v>13908</v>
      </c>
      <c r="E58" s="20">
        <v>0</v>
      </c>
      <c r="F58" s="20">
        <v>17636</v>
      </c>
      <c r="G58" s="43">
        <v>13908</v>
      </c>
    </row>
    <row r="59" spans="1:7" x14ac:dyDescent="0.2">
      <c r="A59" s="42" t="s">
        <v>198</v>
      </c>
      <c r="B59" s="20">
        <v>7237</v>
      </c>
      <c r="C59" s="20">
        <v>705</v>
      </c>
      <c r="D59" s="20">
        <v>6417</v>
      </c>
      <c r="E59" s="20">
        <v>0</v>
      </c>
      <c r="F59" s="20">
        <v>7122</v>
      </c>
      <c r="G59" s="43">
        <v>6417</v>
      </c>
    </row>
    <row r="60" spans="1:7" x14ac:dyDescent="0.2">
      <c r="A60" s="42" t="s">
        <v>199</v>
      </c>
      <c r="B60" s="20">
        <v>225409</v>
      </c>
      <c r="C60" s="20">
        <v>178673</v>
      </c>
      <c r="D60" s="20">
        <v>149494</v>
      </c>
      <c r="E60" s="20">
        <v>0</v>
      </c>
      <c r="F60" s="20">
        <v>328167</v>
      </c>
      <c r="G60" s="43">
        <v>318286</v>
      </c>
    </row>
    <row r="61" spans="1:7" x14ac:dyDescent="0.2">
      <c r="A61" s="42" t="s">
        <v>200</v>
      </c>
      <c r="B61" s="20">
        <v>0</v>
      </c>
      <c r="C61" s="20">
        <v>0</v>
      </c>
      <c r="D61" s="20">
        <v>2034</v>
      </c>
      <c r="E61" s="20">
        <v>0</v>
      </c>
      <c r="F61" s="20">
        <v>2034</v>
      </c>
      <c r="G61" s="43">
        <v>2034</v>
      </c>
    </row>
    <row r="62" spans="1:7" x14ac:dyDescent="0.2">
      <c r="A62" s="42" t="s">
        <v>201</v>
      </c>
      <c r="B62" s="20">
        <v>10826</v>
      </c>
      <c r="C62" s="20">
        <v>14388</v>
      </c>
      <c r="D62" s="20">
        <v>8839</v>
      </c>
      <c r="E62" s="20">
        <v>0</v>
      </c>
      <c r="F62" s="20">
        <v>23227</v>
      </c>
      <c r="G62" s="43">
        <v>18947</v>
      </c>
    </row>
    <row r="63" spans="1:7" x14ac:dyDescent="0.2">
      <c r="A63" s="42" t="s">
        <v>202</v>
      </c>
      <c r="B63" s="20">
        <v>0</v>
      </c>
      <c r="C63" s="20">
        <v>0</v>
      </c>
      <c r="D63" s="20">
        <v>57227</v>
      </c>
      <c r="E63" s="20">
        <v>0</v>
      </c>
      <c r="F63" s="20">
        <v>57227</v>
      </c>
      <c r="G63" s="43">
        <v>57227</v>
      </c>
    </row>
    <row r="64" spans="1:7" x14ac:dyDescent="0.2">
      <c r="A64" s="42" t="s">
        <v>203</v>
      </c>
      <c r="B64" s="20">
        <v>0</v>
      </c>
      <c r="C64" s="20" t="s">
        <v>560</v>
      </c>
      <c r="D64" s="20" t="s">
        <v>561</v>
      </c>
      <c r="E64" s="20">
        <v>0</v>
      </c>
      <c r="F64" s="20" t="s">
        <v>562</v>
      </c>
      <c r="G64" s="43" t="s">
        <v>563</v>
      </c>
    </row>
    <row r="65" spans="1:7" ht="15" customHeight="1" x14ac:dyDescent="0.2">
      <c r="A65" s="44" t="s">
        <v>204</v>
      </c>
      <c r="B65" s="45">
        <v>46540204</v>
      </c>
      <c r="C65" s="45">
        <v>5437567</v>
      </c>
      <c r="D65" s="45">
        <v>52879669</v>
      </c>
      <c r="E65" s="45">
        <v>0</v>
      </c>
      <c r="F65" s="45">
        <v>58317236</v>
      </c>
      <c r="G65" s="51">
        <v>53911997</v>
      </c>
    </row>
    <row r="66" spans="1:7" ht="15" customHeight="1" x14ac:dyDescent="0.2">
      <c r="A66" s="101" t="s">
        <v>205</v>
      </c>
      <c r="B66" s="101"/>
      <c r="C66" s="101"/>
      <c r="D66" s="101"/>
      <c r="E66" s="101"/>
      <c r="F66" s="101"/>
      <c r="G66" s="101"/>
    </row>
    <row r="67" spans="1:7" ht="18.75" customHeight="1" x14ac:dyDescent="0.2">
      <c r="A67" s="103" t="s">
        <v>252</v>
      </c>
      <c r="B67" s="103"/>
      <c r="C67" s="103"/>
      <c r="D67" s="103"/>
      <c r="E67" s="103"/>
      <c r="F67" s="103"/>
      <c r="G67" s="103"/>
    </row>
    <row r="68" spans="1:7" ht="15.75" customHeight="1" x14ac:dyDescent="0.2">
      <c r="A68" s="102" t="s">
        <v>557</v>
      </c>
      <c r="B68" s="102"/>
      <c r="C68" s="102"/>
      <c r="D68" s="102"/>
      <c r="E68" s="102"/>
      <c r="F68" s="102"/>
      <c r="G68" s="102"/>
    </row>
    <row r="69" spans="1:7" ht="28.5" customHeight="1" x14ac:dyDescent="0.2">
      <c r="A69" s="102" t="s">
        <v>558</v>
      </c>
      <c r="B69" s="102"/>
      <c r="C69" s="102"/>
      <c r="D69" s="102"/>
      <c r="E69" s="102"/>
      <c r="F69" s="102"/>
      <c r="G69" s="102"/>
    </row>
    <row r="70" spans="1:7" ht="30" customHeight="1" x14ac:dyDescent="0.2">
      <c r="A70" s="102" t="s">
        <v>559</v>
      </c>
      <c r="B70" s="102"/>
      <c r="C70" s="102"/>
      <c r="D70" s="102"/>
      <c r="E70" s="102"/>
      <c r="F70" s="102"/>
      <c r="G70" s="102"/>
    </row>
    <row r="71" spans="1:7" ht="15" x14ac:dyDescent="0.2">
      <c r="A71" s="103"/>
      <c r="B71" s="103"/>
      <c r="C71" s="103"/>
      <c r="D71" s="103"/>
      <c r="E71" s="103"/>
      <c r="F71" s="103"/>
      <c r="G71" s="103"/>
    </row>
  </sheetData>
  <mergeCells count="10">
    <mergeCell ref="A69:G69"/>
    <mergeCell ref="A70:G70"/>
    <mergeCell ref="A71:G71"/>
    <mergeCell ref="A4:A5"/>
    <mergeCell ref="B4:B5"/>
    <mergeCell ref="F4:F5"/>
    <mergeCell ref="G4:G5"/>
    <mergeCell ref="A66:G66"/>
    <mergeCell ref="A68:G68"/>
    <mergeCell ref="A67:G67"/>
  </mergeCells>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253</v>
      </c>
      <c r="B1" s="16"/>
      <c r="C1" s="16"/>
      <c r="D1" s="16"/>
      <c r="E1" s="16"/>
      <c r="F1" s="16"/>
      <c r="G1" s="15" t="s">
        <v>254</v>
      </c>
    </row>
    <row r="2" spans="1:7" x14ac:dyDescent="0.2">
      <c r="A2" s="17" t="s">
        <v>361</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116109</v>
      </c>
      <c r="C6" s="20">
        <v>33322</v>
      </c>
      <c r="D6" s="20">
        <v>36098</v>
      </c>
      <c r="E6" s="20">
        <v>33810</v>
      </c>
      <c r="F6" s="20">
        <v>103230</v>
      </c>
      <c r="G6" s="43">
        <v>9374</v>
      </c>
    </row>
    <row r="7" spans="1:7" x14ac:dyDescent="0.2">
      <c r="A7" s="42" t="s">
        <v>146</v>
      </c>
      <c r="B7" s="20">
        <v>147153</v>
      </c>
      <c r="C7" s="20">
        <v>42231</v>
      </c>
      <c r="D7" s="20">
        <v>45750</v>
      </c>
      <c r="E7" s="20">
        <v>19944</v>
      </c>
      <c r="F7" s="20">
        <v>107924</v>
      </c>
      <c r="G7" s="43">
        <v>5530</v>
      </c>
    </row>
    <row r="8" spans="1:7" x14ac:dyDescent="0.2">
      <c r="A8" s="42" t="s">
        <v>147</v>
      </c>
      <c r="B8" s="20">
        <v>451501</v>
      </c>
      <c r="C8" s="20">
        <v>129574</v>
      </c>
      <c r="D8" s="20">
        <v>140371</v>
      </c>
      <c r="E8" s="20">
        <v>263166</v>
      </c>
      <c r="F8" s="20">
        <v>533111</v>
      </c>
      <c r="G8" s="43">
        <v>72963</v>
      </c>
    </row>
    <row r="9" spans="1:7" x14ac:dyDescent="0.2">
      <c r="A9" s="42" t="s">
        <v>148</v>
      </c>
      <c r="B9" s="20">
        <v>148016</v>
      </c>
      <c r="C9" s="20">
        <v>42478</v>
      </c>
      <c r="D9" s="20">
        <v>46018</v>
      </c>
      <c r="E9" s="20">
        <v>14828</v>
      </c>
      <c r="F9" s="20">
        <v>103324</v>
      </c>
      <c r="G9" s="43">
        <v>4111</v>
      </c>
    </row>
    <row r="10" spans="1:7" x14ac:dyDescent="0.2">
      <c r="A10" s="42" t="s">
        <v>149</v>
      </c>
      <c r="B10" s="20">
        <v>4403596</v>
      </c>
      <c r="C10" s="20">
        <v>1263763</v>
      </c>
      <c r="D10" s="20">
        <v>1369077</v>
      </c>
      <c r="E10" s="20">
        <v>3919484</v>
      </c>
      <c r="F10" s="20">
        <v>6552324</v>
      </c>
      <c r="G10" s="43">
        <v>1086682</v>
      </c>
    </row>
    <row r="11" spans="1:7" x14ac:dyDescent="0.2">
      <c r="A11" s="42" t="s">
        <v>150</v>
      </c>
      <c r="B11" s="20">
        <v>253148</v>
      </c>
      <c r="C11" s="20">
        <v>72650</v>
      </c>
      <c r="D11" s="20">
        <v>78704</v>
      </c>
      <c r="E11" s="20">
        <v>374629</v>
      </c>
      <c r="F11" s="20">
        <v>525982</v>
      </c>
      <c r="G11" s="43">
        <v>103866</v>
      </c>
    </row>
    <row r="12" spans="1:7" x14ac:dyDescent="0.2">
      <c r="A12" s="42" t="s">
        <v>151</v>
      </c>
      <c r="B12" s="20">
        <v>177690</v>
      </c>
      <c r="C12" s="20">
        <v>50994</v>
      </c>
      <c r="D12" s="20">
        <v>55244</v>
      </c>
      <c r="E12" s="20">
        <v>428920</v>
      </c>
      <c r="F12" s="20">
        <v>535158</v>
      </c>
      <c r="G12" s="43">
        <v>118919</v>
      </c>
    </row>
    <row r="13" spans="1:7" x14ac:dyDescent="0.2">
      <c r="A13" s="42" t="s">
        <v>152</v>
      </c>
      <c r="B13" s="20">
        <v>72074</v>
      </c>
      <c r="C13" s="20">
        <v>20684</v>
      </c>
      <c r="D13" s="20">
        <v>22408</v>
      </c>
      <c r="E13" s="20">
        <v>95265</v>
      </c>
      <c r="F13" s="20">
        <v>138357</v>
      </c>
      <c r="G13" s="43">
        <v>26412</v>
      </c>
    </row>
    <row r="14" spans="1:7" x14ac:dyDescent="0.2">
      <c r="A14" s="42" t="s">
        <v>153</v>
      </c>
      <c r="B14" s="20">
        <v>698681</v>
      </c>
      <c r="C14" s="20">
        <v>200511</v>
      </c>
      <c r="D14" s="20">
        <v>217220</v>
      </c>
      <c r="E14" s="20">
        <v>182459</v>
      </c>
      <c r="F14" s="20">
        <v>600190</v>
      </c>
      <c r="G14" s="43">
        <v>50587</v>
      </c>
    </row>
    <row r="15" spans="1:7" x14ac:dyDescent="0.2">
      <c r="A15" s="42" t="s">
        <v>154</v>
      </c>
      <c r="B15" s="20">
        <v>810474</v>
      </c>
      <c r="C15" s="20">
        <v>232593</v>
      </c>
      <c r="D15" s="20">
        <v>251976</v>
      </c>
      <c r="E15" s="20">
        <v>855135</v>
      </c>
      <c r="F15" s="20">
        <v>1339704</v>
      </c>
      <c r="G15" s="43">
        <v>237087</v>
      </c>
    </row>
    <row r="16" spans="1:7" x14ac:dyDescent="0.2">
      <c r="A16" s="42" t="s">
        <v>155</v>
      </c>
      <c r="B16" s="20">
        <v>536441</v>
      </c>
      <c r="C16" s="20">
        <v>153950</v>
      </c>
      <c r="D16" s="20">
        <v>166779</v>
      </c>
      <c r="E16" s="20">
        <v>338092</v>
      </c>
      <c r="F16" s="20">
        <v>658822</v>
      </c>
      <c r="G16" s="43">
        <v>93737</v>
      </c>
    </row>
    <row r="17" spans="1:7" x14ac:dyDescent="0.2">
      <c r="A17" s="42" t="s">
        <v>156</v>
      </c>
      <c r="B17" s="20">
        <v>105399</v>
      </c>
      <c r="C17" s="20">
        <v>30248</v>
      </c>
      <c r="D17" s="20">
        <v>32769</v>
      </c>
      <c r="E17" s="20">
        <v>172220</v>
      </c>
      <c r="F17" s="20">
        <v>235236</v>
      </c>
      <c r="G17" s="43">
        <v>47748</v>
      </c>
    </row>
    <row r="18" spans="1:7" x14ac:dyDescent="0.2">
      <c r="A18" s="42" t="s">
        <v>157</v>
      </c>
      <c r="B18" s="20">
        <v>69035</v>
      </c>
      <c r="C18" s="20">
        <v>19812</v>
      </c>
      <c r="D18" s="20">
        <v>21463</v>
      </c>
      <c r="E18" s="20">
        <v>7873</v>
      </c>
      <c r="F18" s="20">
        <v>49148</v>
      </c>
      <c r="G18" s="43">
        <v>2183</v>
      </c>
    </row>
    <row r="19" spans="1:7" x14ac:dyDescent="0.2">
      <c r="A19" s="42" t="s">
        <v>158</v>
      </c>
      <c r="B19" s="20">
        <v>1380389</v>
      </c>
      <c r="C19" s="20">
        <v>396150</v>
      </c>
      <c r="D19" s="20">
        <v>429163</v>
      </c>
      <c r="E19" s="20">
        <v>1496582</v>
      </c>
      <c r="F19" s="20">
        <v>2321895</v>
      </c>
      <c r="G19" s="43">
        <v>414929</v>
      </c>
    </row>
    <row r="20" spans="1:7" x14ac:dyDescent="0.2">
      <c r="A20" s="42" t="s">
        <v>159</v>
      </c>
      <c r="B20" s="20">
        <v>83652</v>
      </c>
      <c r="C20" s="20">
        <v>24007</v>
      </c>
      <c r="D20" s="20">
        <v>26007</v>
      </c>
      <c r="E20" s="20">
        <v>190463</v>
      </c>
      <c r="F20" s="20">
        <v>240478</v>
      </c>
      <c r="G20" s="43">
        <v>52806</v>
      </c>
    </row>
    <row r="21" spans="1:7" x14ac:dyDescent="0.2">
      <c r="A21" s="42" t="s">
        <v>160</v>
      </c>
      <c r="B21" s="20">
        <v>162907</v>
      </c>
      <c r="C21" s="20">
        <v>46752</v>
      </c>
      <c r="D21" s="20">
        <v>50648</v>
      </c>
      <c r="E21" s="20">
        <v>60204</v>
      </c>
      <c r="F21" s="20">
        <v>157603</v>
      </c>
      <c r="G21" s="43">
        <v>16692</v>
      </c>
    </row>
    <row r="22" spans="1:7" x14ac:dyDescent="0.2">
      <c r="A22" s="42" t="s">
        <v>161</v>
      </c>
      <c r="B22" s="20">
        <v>46078</v>
      </c>
      <c r="C22" s="20">
        <v>13224</v>
      </c>
      <c r="D22" s="20">
        <v>14325</v>
      </c>
      <c r="E22" s="20">
        <v>43363</v>
      </c>
      <c r="F22" s="20">
        <v>70912</v>
      </c>
      <c r="G22" s="43">
        <v>12022</v>
      </c>
    </row>
    <row r="23" spans="1:7" x14ac:dyDescent="0.2">
      <c r="A23" s="42" t="s">
        <v>162</v>
      </c>
      <c r="B23" s="20">
        <v>133084</v>
      </c>
      <c r="C23" s="20">
        <v>38193</v>
      </c>
      <c r="D23" s="20">
        <v>41376</v>
      </c>
      <c r="E23" s="20">
        <v>88369</v>
      </c>
      <c r="F23" s="20">
        <v>167938</v>
      </c>
      <c r="G23" s="43">
        <v>24500</v>
      </c>
    </row>
    <row r="24" spans="1:7" x14ac:dyDescent="0.2">
      <c r="A24" s="42" t="s">
        <v>163</v>
      </c>
      <c r="B24" s="20">
        <v>135040</v>
      </c>
      <c r="C24" s="20">
        <v>38754</v>
      </c>
      <c r="D24" s="20">
        <v>41984</v>
      </c>
      <c r="E24" s="20">
        <v>99873</v>
      </c>
      <c r="F24" s="20">
        <v>180612</v>
      </c>
      <c r="G24" s="43">
        <v>27690</v>
      </c>
    </row>
    <row r="25" spans="1:7" x14ac:dyDescent="0.2">
      <c r="A25" s="42" t="s">
        <v>164</v>
      </c>
      <c r="B25" s="20">
        <v>80666</v>
      </c>
      <c r="C25" s="20">
        <v>23150</v>
      </c>
      <c r="D25" s="20">
        <v>25079</v>
      </c>
      <c r="E25" s="20">
        <v>17642</v>
      </c>
      <c r="F25" s="20">
        <v>65871</v>
      </c>
      <c r="G25" s="43">
        <v>4891</v>
      </c>
    </row>
    <row r="26" spans="1:7" x14ac:dyDescent="0.2">
      <c r="A26" s="42" t="s">
        <v>165</v>
      </c>
      <c r="B26" s="20">
        <v>545077</v>
      </c>
      <c r="C26" s="20">
        <v>156429</v>
      </c>
      <c r="D26" s="20">
        <v>169464</v>
      </c>
      <c r="E26" s="20">
        <v>898078</v>
      </c>
      <c r="F26" s="20">
        <v>1223971</v>
      </c>
      <c r="G26" s="43">
        <v>248993</v>
      </c>
    </row>
    <row r="27" spans="1:7" x14ac:dyDescent="0.2">
      <c r="A27" s="42" t="s">
        <v>166</v>
      </c>
      <c r="B27" s="20">
        <v>668764</v>
      </c>
      <c r="C27" s="20">
        <v>191925</v>
      </c>
      <c r="D27" s="20">
        <v>207919</v>
      </c>
      <c r="E27" s="20">
        <v>1013887</v>
      </c>
      <c r="F27" s="20">
        <v>1413730</v>
      </c>
      <c r="G27" s="43">
        <v>281101</v>
      </c>
    </row>
    <row r="28" spans="1:7" x14ac:dyDescent="0.2">
      <c r="A28" s="42" t="s">
        <v>167</v>
      </c>
      <c r="B28" s="20">
        <v>334763</v>
      </c>
      <c r="C28" s="20">
        <v>96072</v>
      </c>
      <c r="D28" s="20">
        <v>104078</v>
      </c>
      <c r="E28" s="20">
        <v>287298</v>
      </c>
      <c r="F28" s="20">
        <v>487447</v>
      </c>
      <c r="G28" s="43">
        <v>79654</v>
      </c>
    </row>
    <row r="29" spans="1:7" x14ac:dyDescent="0.2">
      <c r="A29" s="42" t="s">
        <v>168</v>
      </c>
      <c r="B29" s="20">
        <v>295075</v>
      </c>
      <c r="C29" s="20">
        <v>84682</v>
      </c>
      <c r="D29" s="20">
        <v>91739</v>
      </c>
      <c r="E29" s="20">
        <v>347377</v>
      </c>
      <c r="F29" s="20">
        <v>523798</v>
      </c>
      <c r="G29" s="43">
        <v>96311</v>
      </c>
    </row>
    <row r="30" spans="1:7" x14ac:dyDescent="0.2">
      <c r="A30" s="42" t="s">
        <v>169</v>
      </c>
      <c r="B30" s="20">
        <v>38288</v>
      </c>
      <c r="C30" s="20">
        <v>10988</v>
      </c>
      <c r="D30" s="20">
        <v>11904</v>
      </c>
      <c r="E30" s="20">
        <v>11887</v>
      </c>
      <c r="F30" s="20">
        <v>34779</v>
      </c>
      <c r="G30" s="43">
        <v>3296</v>
      </c>
    </row>
    <row r="31" spans="1:7" x14ac:dyDescent="0.2">
      <c r="A31" s="42" t="s">
        <v>170</v>
      </c>
      <c r="B31" s="20">
        <v>247315</v>
      </c>
      <c r="C31" s="20">
        <v>70976</v>
      </c>
      <c r="D31" s="20">
        <v>76890</v>
      </c>
      <c r="E31" s="20">
        <v>196817</v>
      </c>
      <c r="F31" s="20">
        <v>344683</v>
      </c>
      <c r="G31" s="43">
        <v>54568</v>
      </c>
    </row>
    <row r="32" spans="1:7" x14ac:dyDescent="0.2">
      <c r="A32" s="42" t="s">
        <v>171</v>
      </c>
      <c r="B32" s="20">
        <v>70017</v>
      </c>
      <c r="C32" s="20">
        <v>20094</v>
      </c>
      <c r="D32" s="20">
        <v>21768</v>
      </c>
      <c r="E32" s="20">
        <v>10353</v>
      </c>
      <c r="F32" s="20">
        <v>52215</v>
      </c>
      <c r="G32" s="43">
        <v>2870</v>
      </c>
    </row>
    <row r="33" spans="1:7" x14ac:dyDescent="0.2">
      <c r="A33" s="42" t="s">
        <v>172</v>
      </c>
      <c r="B33" s="20">
        <v>70049</v>
      </c>
      <c r="C33" s="20">
        <v>20103</v>
      </c>
      <c r="D33" s="20">
        <v>21778</v>
      </c>
      <c r="E33" s="20">
        <v>24127</v>
      </c>
      <c r="F33" s="20">
        <v>66008</v>
      </c>
      <c r="G33" s="43">
        <v>6689</v>
      </c>
    </row>
    <row r="34" spans="1:7" x14ac:dyDescent="0.2">
      <c r="A34" s="42" t="s">
        <v>173</v>
      </c>
      <c r="B34" s="20">
        <v>174501</v>
      </c>
      <c r="C34" s="20">
        <v>50079</v>
      </c>
      <c r="D34" s="20">
        <v>54252</v>
      </c>
      <c r="E34" s="20">
        <v>151796</v>
      </c>
      <c r="F34" s="20">
        <v>256128</v>
      </c>
      <c r="G34" s="43">
        <v>42086</v>
      </c>
    </row>
    <row r="35" spans="1:7" x14ac:dyDescent="0.2">
      <c r="A35" s="42" t="s">
        <v>174</v>
      </c>
      <c r="B35" s="20">
        <v>54285</v>
      </c>
      <c r="C35" s="20">
        <v>15579</v>
      </c>
      <c r="D35" s="20">
        <v>16877</v>
      </c>
      <c r="E35" s="20">
        <v>26386</v>
      </c>
      <c r="F35" s="20">
        <v>58842</v>
      </c>
      <c r="G35" s="43">
        <v>7316</v>
      </c>
    </row>
    <row r="36" spans="1:7" x14ac:dyDescent="0.2">
      <c r="A36" s="42" t="s">
        <v>175</v>
      </c>
      <c r="B36" s="20">
        <v>1703349</v>
      </c>
      <c r="C36" s="20">
        <v>488834</v>
      </c>
      <c r="D36" s="20">
        <v>529571</v>
      </c>
      <c r="E36" s="20">
        <v>3080196</v>
      </c>
      <c r="F36" s="20">
        <v>4098601</v>
      </c>
      <c r="G36" s="43">
        <v>853988</v>
      </c>
    </row>
    <row r="37" spans="1:7" x14ac:dyDescent="0.2">
      <c r="A37" s="42" t="s">
        <v>176</v>
      </c>
      <c r="B37" s="20">
        <v>82981</v>
      </c>
      <c r="C37" s="20">
        <v>23814</v>
      </c>
      <c r="D37" s="20">
        <v>25799</v>
      </c>
      <c r="E37" s="20">
        <v>45240</v>
      </c>
      <c r="F37" s="20">
        <v>94853</v>
      </c>
      <c r="G37" s="43">
        <v>12543</v>
      </c>
    </row>
    <row r="38" spans="1:7" x14ac:dyDescent="0.2">
      <c r="A38" s="42" t="s">
        <v>177</v>
      </c>
      <c r="B38" s="20">
        <v>3867463</v>
      </c>
      <c r="C38" s="20">
        <v>1109901</v>
      </c>
      <c r="D38" s="20">
        <v>1202393</v>
      </c>
      <c r="E38" s="20">
        <v>5817267</v>
      </c>
      <c r="F38" s="20">
        <v>8129562</v>
      </c>
      <c r="G38" s="43">
        <v>1612844</v>
      </c>
    </row>
    <row r="39" spans="1:7" x14ac:dyDescent="0.2">
      <c r="A39" s="42" t="s">
        <v>178</v>
      </c>
      <c r="B39" s="20">
        <v>290967</v>
      </c>
      <c r="C39" s="20">
        <v>83503</v>
      </c>
      <c r="D39" s="20">
        <v>90461</v>
      </c>
      <c r="E39" s="20">
        <v>214878</v>
      </c>
      <c r="F39" s="20">
        <v>388843</v>
      </c>
      <c r="G39" s="43">
        <v>59575</v>
      </c>
    </row>
    <row r="40" spans="1:7" x14ac:dyDescent="0.2">
      <c r="A40" s="42" t="s">
        <v>179</v>
      </c>
      <c r="B40" s="20">
        <v>14293</v>
      </c>
      <c r="C40" s="20">
        <v>4102</v>
      </c>
      <c r="D40" s="20">
        <v>4444</v>
      </c>
      <c r="E40" s="20">
        <v>7449</v>
      </c>
      <c r="F40" s="20">
        <v>15995</v>
      </c>
      <c r="G40" s="43">
        <v>2065</v>
      </c>
    </row>
    <row r="41" spans="1:7" x14ac:dyDescent="0.2">
      <c r="A41" s="42" t="s">
        <v>180</v>
      </c>
      <c r="B41" s="20">
        <v>489214</v>
      </c>
      <c r="C41" s="20">
        <v>140397</v>
      </c>
      <c r="D41" s="20">
        <v>152097</v>
      </c>
      <c r="E41" s="20">
        <v>407761</v>
      </c>
      <c r="F41" s="20">
        <v>700254</v>
      </c>
      <c r="G41" s="43">
        <v>113052</v>
      </c>
    </row>
    <row r="42" spans="1:7" x14ac:dyDescent="0.2">
      <c r="A42" s="42" t="s">
        <v>181</v>
      </c>
      <c r="B42" s="20">
        <v>85488</v>
      </c>
      <c r="C42" s="20">
        <v>24534</v>
      </c>
      <c r="D42" s="20">
        <v>26578</v>
      </c>
      <c r="E42" s="20">
        <v>34545</v>
      </c>
      <c r="F42" s="20">
        <v>85657</v>
      </c>
      <c r="G42" s="43">
        <v>9578</v>
      </c>
    </row>
    <row r="43" spans="1:7" x14ac:dyDescent="0.2">
      <c r="A43" s="42" t="s">
        <v>182</v>
      </c>
      <c r="B43" s="20">
        <v>401290</v>
      </c>
      <c r="C43" s="20">
        <v>115164</v>
      </c>
      <c r="D43" s="20">
        <v>124761</v>
      </c>
      <c r="E43" s="20">
        <v>335598</v>
      </c>
      <c r="F43" s="20">
        <v>575523</v>
      </c>
      <c r="G43" s="43">
        <v>93045</v>
      </c>
    </row>
    <row r="44" spans="1:7" x14ac:dyDescent="0.2">
      <c r="A44" s="42" t="s">
        <v>183</v>
      </c>
      <c r="B44" s="20">
        <v>861556</v>
      </c>
      <c r="C44" s="20">
        <v>247253</v>
      </c>
      <c r="D44" s="20">
        <v>267857</v>
      </c>
      <c r="E44" s="20">
        <v>984185</v>
      </c>
      <c r="F44" s="20">
        <v>1499295</v>
      </c>
      <c r="G44" s="43">
        <v>272866</v>
      </c>
    </row>
    <row r="45" spans="1:7" x14ac:dyDescent="0.2">
      <c r="A45" s="42" t="s">
        <v>184</v>
      </c>
      <c r="B45" s="20">
        <v>160023</v>
      </c>
      <c r="C45" s="20">
        <v>45924</v>
      </c>
      <c r="D45" s="20">
        <v>49751</v>
      </c>
      <c r="E45" s="20">
        <v>29050</v>
      </c>
      <c r="F45" s="20">
        <v>124725</v>
      </c>
      <c r="G45" s="43">
        <v>8054</v>
      </c>
    </row>
    <row r="46" spans="1:7" x14ac:dyDescent="0.2">
      <c r="A46" s="42" t="s">
        <v>185</v>
      </c>
      <c r="B46" s="20">
        <v>47052</v>
      </c>
      <c r="C46" s="20">
        <v>13503</v>
      </c>
      <c r="D46" s="20">
        <v>14629</v>
      </c>
      <c r="E46" s="20">
        <v>31424</v>
      </c>
      <c r="F46" s="20">
        <v>59556</v>
      </c>
      <c r="G46" s="43">
        <v>8712</v>
      </c>
    </row>
    <row r="47" spans="1:7" x14ac:dyDescent="0.2">
      <c r="A47" s="42" t="s">
        <v>186</v>
      </c>
      <c r="B47" s="20">
        <v>35793</v>
      </c>
      <c r="C47" s="20">
        <v>10272</v>
      </c>
      <c r="D47" s="20">
        <v>11128</v>
      </c>
      <c r="E47" s="20">
        <v>11636</v>
      </c>
      <c r="F47" s="20">
        <v>33036</v>
      </c>
      <c r="G47" s="43">
        <v>3226</v>
      </c>
    </row>
    <row r="48" spans="1:7" x14ac:dyDescent="0.2">
      <c r="A48" s="42" t="s">
        <v>187</v>
      </c>
      <c r="B48" s="20">
        <v>183142</v>
      </c>
      <c r="C48" s="20">
        <v>52559</v>
      </c>
      <c r="D48" s="20">
        <v>56939</v>
      </c>
      <c r="E48" s="20">
        <v>117262</v>
      </c>
      <c r="F48" s="20">
        <v>226760</v>
      </c>
      <c r="G48" s="43">
        <v>32511</v>
      </c>
    </row>
    <row r="49" spans="1:7" x14ac:dyDescent="0.2">
      <c r="A49" s="42" t="s">
        <v>188</v>
      </c>
      <c r="B49" s="20">
        <v>1553087</v>
      </c>
      <c r="C49" s="20">
        <v>445712</v>
      </c>
      <c r="D49" s="20">
        <v>482854</v>
      </c>
      <c r="E49" s="20">
        <v>1001319</v>
      </c>
      <c r="F49" s="20">
        <v>1929885</v>
      </c>
      <c r="G49" s="43">
        <v>277617</v>
      </c>
    </row>
    <row r="50" spans="1:7" x14ac:dyDescent="0.2">
      <c r="A50" s="42" t="s">
        <v>189</v>
      </c>
      <c r="B50" s="20">
        <v>302656</v>
      </c>
      <c r="C50" s="20">
        <v>86858</v>
      </c>
      <c r="D50" s="20">
        <v>94096</v>
      </c>
      <c r="E50" s="20">
        <v>172965</v>
      </c>
      <c r="F50" s="20">
        <v>353918</v>
      </c>
      <c r="G50" s="43">
        <v>47955</v>
      </c>
    </row>
    <row r="51" spans="1:7" x14ac:dyDescent="0.2">
      <c r="A51" s="42" t="s">
        <v>190</v>
      </c>
      <c r="B51" s="20">
        <v>77769</v>
      </c>
      <c r="C51" s="20">
        <v>22319</v>
      </c>
      <c r="D51" s="20">
        <v>24178</v>
      </c>
      <c r="E51" s="20">
        <v>14711</v>
      </c>
      <c r="F51" s="20">
        <v>61208</v>
      </c>
      <c r="G51" s="43">
        <v>4079</v>
      </c>
    </row>
    <row r="52" spans="1:7" x14ac:dyDescent="0.2">
      <c r="A52" s="42" t="s">
        <v>191</v>
      </c>
      <c r="B52" s="20">
        <v>176512</v>
      </c>
      <c r="C52" s="20">
        <v>50656</v>
      </c>
      <c r="D52" s="20">
        <v>54877</v>
      </c>
      <c r="E52" s="20">
        <v>788519</v>
      </c>
      <c r="F52" s="20">
        <v>894053</v>
      </c>
      <c r="G52" s="43">
        <v>218618</v>
      </c>
    </row>
    <row r="53" spans="1:7" x14ac:dyDescent="0.2">
      <c r="A53" s="42" t="s">
        <v>192</v>
      </c>
      <c r="B53" s="20">
        <v>784249</v>
      </c>
      <c r="C53" s="20">
        <v>225067</v>
      </c>
      <c r="D53" s="20">
        <v>243823</v>
      </c>
      <c r="E53" s="20">
        <v>1097843</v>
      </c>
      <c r="F53" s="20">
        <v>1566733</v>
      </c>
      <c r="G53" s="43">
        <v>304378</v>
      </c>
    </row>
    <row r="54" spans="1:7" x14ac:dyDescent="0.2">
      <c r="A54" s="42" t="s">
        <v>193</v>
      </c>
      <c r="B54" s="20">
        <v>78731</v>
      </c>
      <c r="C54" s="20">
        <v>22595</v>
      </c>
      <c r="D54" s="20">
        <v>24477</v>
      </c>
      <c r="E54" s="20">
        <v>21215</v>
      </c>
      <c r="F54" s="20">
        <v>68286</v>
      </c>
      <c r="G54" s="43">
        <v>5882</v>
      </c>
    </row>
    <row r="55" spans="1:7" x14ac:dyDescent="0.2">
      <c r="A55" s="42" t="s">
        <v>194</v>
      </c>
      <c r="B55" s="20">
        <v>149059</v>
      </c>
      <c r="C55" s="20">
        <v>42778</v>
      </c>
      <c r="D55" s="20">
        <v>46343</v>
      </c>
      <c r="E55" s="20">
        <v>156012</v>
      </c>
      <c r="F55" s="20">
        <v>245132</v>
      </c>
      <c r="G55" s="43">
        <v>43255</v>
      </c>
    </row>
    <row r="56" spans="1:7" x14ac:dyDescent="0.2">
      <c r="A56" s="42" t="s">
        <v>195</v>
      </c>
      <c r="B56" s="20">
        <v>20835</v>
      </c>
      <c r="C56" s="20">
        <v>5979</v>
      </c>
      <c r="D56" s="20">
        <v>6478</v>
      </c>
      <c r="E56" s="20">
        <v>2746</v>
      </c>
      <c r="F56" s="20">
        <v>15203</v>
      </c>
      <c r="G56" s="43">
        <v>761</v>
      </c>
    </row>
    <row r="57" spans="1:7" x14ac:dyDescent="0.2">
      <c r="A57" s="42" t="s">
        <v>196</v>
      </c>
      <c r="B57" s="20">
        <v>3501</v>
      </c>
      <c r="C57" s="20">
        <v>1005</v>
      </c>
      <c r="D57" s="20">
        <v>1089</v>
      </c>
      <c r="E57" s="20">
        <v>102</v>
      </c>
      <c r="F57" s="20">
        <v>2196</v>
      </c>
      <c r="G57" s="43">
        <v>28</v>
      </c>
    </row>
    <row r="58" spans="1:7" x14ac:dyDescent="0.2">
      <c r="A58" s="42" t="s">
        <v>197</v>
      </c>
      <c r="B58" s="20">
        <v>0</v>
      </c>
      <c r="C58" s="20">
        <v>0</v>
      </c>
      <c r="D58" s="20">
        <v>0</v>
      </c>
      <c r="E58" s="20">
        <v>899</v>
      </c>
      <c r="F58" s="20">
        <v>899</v>
      </c>
      <c r="G58" s="43">
        <v>249</v>
      </c>
    </row>
    <row r="59" spans="1:7" x14ac:dyDescent="0.2">
      <c r="A59" s="42" t="s">
        <v>198</v>
      </c>
      <c r="B59" s="20">
        <v>30</v>
      </c>
      <c r="C59" s="20">
        <v>9</v>
      </c>
      <c r="D59" s="20">
        <v>9</v>
      </c>
      <c r="E59" s="20">
        <v>87</v>
      </c>
      <c r="F59" s="20">
        <v>105</v>
      </c>
      <c r="G59" s="43">
        <v>24</v>
      </c>
    </row>
    <row r="60" spans="1:7" x14ac:dyDescent="0.2">
      <c r="A60" s="42" t="s">
        <v>199</v>
      </c>
      <c r="B60" s="20">
        <v>129692</v>
      </c>
      <c r="C60" s="20">
        <v>37220</v>
      </c>
      <c r="D60" s="20">
        <v>40321</v>
      </c>
      <c r="E60" s="20">
        <v>118687</v>
      </c>
      <c r="F60" s="20">
        <v>196228</v>
      </c>
      <c r="G60" s="43">
        <v>32906</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2073</v>
      </c>
      <c r="F62" s="20">
        <v>2073</v>
      </c>
      <c r="G62" s="43">
        <v>575</v>
      </c>
    </row>
    <row r="63" spans="1:7" x14ac:dyDescent="0.2">
      <c r="A63" s="42" t="s">
        <v>202</v>
      </c>
      <c r="B63" s="20">
        <v>0</v>
      </c>
      <c r="C63" s="20">
        <v>0</v>
      </c>
      <c r="D63" s="20">
        <v>0</v>
      </c>
      <c r="E63" s="20">
        <v>0</v>
      </c>
      <c r="F63" s="20">
        <v>0</v>
      </c>
      <c r="G63" s="43">
        <v>0</v>
      </c>
    </row>
    <row r="64" spans="1:7" x14ac:dyDescent="0.2">
      <c r="A64" s="42" t="s">
        <v>203</v>
      </c>
      <c r="B64" s="20">
        <v>0</v>
      </c>
      <c r="C64" s="20">
        <v>0</v>
      </c>
      <c r="D64" s="20">
        <v>0</v>
      </c>
      <c r="E64" s="20">
        <v>0</v>
      </c>
      <c r="F64" s="20">
        <v>0</v>
      </c>
      <c r="G64" s="43">
        <v>0</v>
      </c>
    </row>
    <row r="65" spans="1:7" ht="15" customHeight="1" x14ac:dyDescent="0.2">
      <c r="A65" s="44" t="s">
        <v>204</v>
      </c>
      <c r="B65" s="45">
        <v>24007999</v>
      </c>
      <c r="C65" s="45">
        <v>6889925</v>
      </c>
      <c r="D65" s="45">
        <v>7464081</v>
      </c>
      <c r="E65" s="45">
        <v>26163996</v>
      </c>
      <c r="F65" s="45">
        <v>40517999</v>
      </c>
      <c r="G65" s="51">
        <v>7253999</v>
      </c>
    </row>
    <row r="66" spans="1:7" ht="15" customHeight="1" x14ac:dyDescent="0.2">
      <c r="A66" s="101" t="s">
        <v>205</v>
      </c>
      <c r="B66" s="101"/>
      <c r="C66" s="101"/>
      <c r="D66" s="101"/>
      <c r="E66" s="101"/>
      <c r="F66" s="101"/>
      <c r="G66" s="101"/>
    </row>
    <row r="67" spans="1:7" ht="15" customHeight="1" x14ac:dyDescent="0.2">
      <c r="A67" s="103"/>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pageSetUpPr fitToPage="1"/>
  </sheetPr>
  <dimension ref="A1:G70"/>
  <sheetViews>
    <sheetView workbookViewId="0"/>
  </sheetViews>
  <sheetFormatPr defaultRowHeight="12.75" x14ac:dyDescent="0.2"/>
  <cols>
    <col min="1" max="1" width="30.7109375" customWidth="1"/>
    <col min="2" max="7" width="11.7109375" customWidth="1"/>
  </cols>
  <sheetData>
    <row r="1" spans="1:7" ht="38.25" customHeight="1" x14ac:dyDescent="0.2">
      <c r="A1" s="15" t="s">
        <v>253</v>
      </c>
      <c r="B1" s="16"/>
      <c r="C1" s="16"/>
      <c r="D1" s="16"/>
      <c r="E1" s="16"/>
      <c r="F1" s="16"/>
      <c r="G1" s="15" t="s">
        <v>255</v>
      </c>
    </row>
    <row r="2" spans="1:7" x14ac:dyDescent="0.2">
      <c r="A2" s="17" t="s">
        <v>362</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56953</v>
      </c>
      <c r="C6" s="20">
        <v>27615</v>
      </c>
      <c r="D6" s="20">
        <v>29917</v>
      </c>
      <c r="E6" s="20">
        <v>0</v>
      </c>
      <c r="F6" s="20">
        <v>57532</v>
      </c>
      <c r="G6" s="43">
        <v>58098</v>
      </c>
    </row>
    <row r="7" spans="1:7" x14ac:dyDescent="0.2">
      <c r="A7" s="42" t="s">
        <v>146</v>
      </c>
      <c r="B7" s="20">
        <v>72181</v>
      </c>
      <c r="C7" s="20">
        <v>34999</v>
      </c>
      <c r="D7" s="20">
        <v>37916</v>
      </c>
      <c r="E7" s="20">
        <v>0</v>
      </c>
      <c r="F7" s="20">
        <v>72915</v>
      </c>
      <c r="G7" s="43">
        <v>73632</v>
      </c>
    </row>
    <row r="8" spans="1:7" x14ac:dyDescent="0.2">
      <c r="A8" s="42" t="s">
        <v>147</v>
      </c>
      <c r="B8" s="20">
        <v>221467</v>
      </c>
      <c r="C8" s="20">
        <v>107385</v>
      </c>
      <c r="D8" s="20">
        <v>116334</v>
      </c>
      <c r="E8" s="20">
        <v>0</v>
      </c>
      <c r="F8" s="20">
        <v>223719</v>
      </c>
      <c r="G8" s="43">
        <v>225920</v>
      </c>
    </row>
    <row r="9" spans="1:7" x14ac:dyDescent="0.2">
      <c r="A9" s="42" t="s">
        <v>148</v>
      </c>
      <c r="B9" s="20">
        <v>72604</v>
      </c>
      <c r="C9" s="20">
        <v>35204</v>
      </c>
      <c r="D9" s="20">
        <v>38138</v>
      </c>
      <c r="E9" s="20">
        <v>0</v>
      </c>
      <c r="F9" s="20">
        <v>73342</v>
      </c>
      <c r="G9" s="43">
        <v>74064</v>
      </c>
    </row>
    <row r="10" spans="1:7" x14ac:dyDescent="0.2">
      <c r="A10" s="42" t="s">
        <v>149</v>
      </c>
      <c r="B10" s="20">
        <v>2160026</v>
      </c>
      <c r="C10" s="20">
        <v>1047354</v>
      </c>
      <c r="D10" s="20">
        <v>1134634</v>
      </c>
      <c r="E10" s="20">
        <v>0</v>
      </c>
      <c r="F10" s="20">
        <v>2181988</v>
      </c>
      <c r="G10" s="43">
        <v>2203449</v>
      </c>
    </row>
    <row r="11" spans="1:7" x14ac:dyDescent="0.2">
      <c r="A11" s="42" t="s">
        <v>150</v>
      </c>
      <c r="B11" s="20">
        <v>124173</v>
      </c>
      <c r="C11" s="20">
        <v>60209</v>
      </c>
      <c r="D11" s="20">
        <v>65226</v>
      </c>
      <c r="E11" s="20">
        <v>0</v>
      </c>
      <c r="F11" s="20">
        <v>125435</v>
      </c>
      <c r="G11" s="43">
        <v>126669</v>
      </c>
    </row>
    <row r="12" spans="1:7" x14ac:dyDescent="0.2">
      <c r="A12" s="42" t="s">
        <v>151</v>
      </c>
      <c r="B12" s="20">
        <v>87159</v>
      </c>
      <c r="C12" s="20">
        <v>42262</v>
      </c>
      <c r="D12" s="20">
        <v>45784</v>
      </c>
      <c r="E12" s="20">
        <v>0</v>
      </c>
      <c r="F12" s="20">
        <v>88045</v>
      </c>
      <c r="G12" s="43">
        <v>88911</v>
      </c>
    </row>
    <row r="13" spans="1:7" x14ac:dyDescent="0.2">
      <c r="A13" s="42" t="s">
        <v>152</v>
      </c>
      <c r="B13" s="20">
        <v>35353</v>
      </c>
      <c r="C13" s="20">
        <v>17142</v>
      </c>
      <c r="D13" s="20">
        <v>18571</v>
      </c>
      <c r="E13" s="20">
        <v>0</v>
      </c>
      <c r="F13" s="20">
        <v>35713</v>
      </c>
      <c r="G13" s="43">
        <v>36064</v>
      </c>
    </row>
    <row r="14" spans="1:7" x14ac:dyDescent="0.2">
      <c r="A14" s="42" t="s">
        <v>153</v>
      </c>
      <c r="B14" s="20">
        <v>342713</v>
      </c>
      <c r="C14" s="20">
        <v>166175</v>
      </c>
      <c r="D14" s="20">
        <v>180023</v>
      </c>
      <c r="E14" s="20">
        <v>0</v>
      </c>
      <c r="F14" s="20">
        <v>346198</v>
      </c>
      <c r="G14" s="43">
        <v>349603</v>
      </c>
    </row>
    <row r="15" spans="1:7" x14ac:dyDescent="0.2">
      <c r="A15" s="42" t="s">
        <v>154</v>
      </c>
      <c r="B15" s="20">
        <v>397549</v>
      </c>
      <c r="C15" s="20">
        <v>192764</v>
      </c>
      <c r="D15" s="20">
        <v>208827</v>
      </c>
      <c r="E15" s="20">
        <v>0</v>
      </c>
      <c r="F15" s="20">
        <v>401591</v>
      </c>
      <c r="G15" s="43">
        <v>405541</v>
      </c>
    </row>
    <row r="16" spans="1:7" x14ac:dyDescent="0.2">
      <c r="A16" s="42" t="s">
        <v>155</v>
      </c>
      <c r="B16" s="20">
        <v>263132</v>
      </c>
      <c r="C16" s="20">
        <v>127588</v>
      </c>
      <c r="D16" s="20">
        <v>138220</v>
      </c>
      <c r="E16" s="20">
        <v>0</v>
      </c>
      <c r="F16" s="20">
        <v>265807</v>
      </c>
      <c r="G16" s="43">
        <v>268422</v>
      </c>
    </row>
    <row r="17" spans="1:7" x14ac:dyDescent="0.2">
      <c r="A17" s="42" t="s">
        <v>156</v>
      </c>
      <c r="B17" s="20">
        <v>51700</v>
      </c>
      <c r="C17" s="20">
        <v>25068</v>
      </c>
      <c r="D17" s="20">
        <v>27157</v>
      </c>
      <c r="E17" s="20">
        <v>0</v>
      </c>
      <c r="F17" s="20">
        <v>52225</v>
      </c>
      <c r="G17" s="43">
        <v>52739</v>
      </c>
    </row>
    <row r="18" spans="1:7" x14ac:dyDescent="0.2">
      <c r="A18" s="42" t="s">
        <v>157</v>
      </c>
      <c r="B18" s="20">
        <v>33863</v>
      </c>
      <c r="C18" s="20">
        <v>16419</v>
      </c>
      <c r="D18" s="20">
        <v>17788</v>
      </c>
      <c r="E18" s="20">
        <v>0</v>
      </c>
      <c r="F18" s="20">
        <v>34207</v>
      </c>
      <c r="G18" s="43">
        <v>34543</v>
      </c>
    </row>
    <row r="19" spans="1:7" x14ac:dyDescent="0.2">
      <c r="A19" s="42" t="s">
        <v>158</v>
      </c>
      <c r="B19" s="20">
        <v>677100</v>
      </c>
      <c r="C19" s="20">
        <v>328313</v>
      </c>
      <c r="D19" s="20">
        <v>355672</v>
      </c>
      <c r="E19" s="20">
        <v>0</v>
      </c>
      <c r="F19" s="20">
        <v>683985</v>
      </c>
      <c r="G19" s="43">
        <v>690712</v>
      </c>
    </row>
    <row r="20" spans="1:7" x14ac:dyDescent="0.2">
      <c r="A20" s="42" t="s">
        <v>159</v>
      </c>
      <c r="B20" s="20">
        <v>41033</v>
      </c>
      <c r="C20" s="20">
        <v>19896</v>
      </c>
      <c r="D20" s="20">
        <v>21554</v>
      </c>
      <c r="E20" s="20">
        <v>0</v>
      </c>
      <c r="F20" s="20">
        <v>41450</v>
      </c>
      <c r="G20" s="43">
        <v>41858</v>
      </c>
    </row>
    <row r="21" spans="1:7" x14ac:dyDescent="0.2">
      <c r="A21" s="42" t="s">
        <v>160</v>
      </c>
      <c r="B21" s="20">
        <v>79908</v>
      </c>
      <c r="C21" s="20">
        <v>38746</v>
      </c>
      <c r="D21" s="20">
        <v>41975</v>
      </c>
      <c r="E21" s="20">
        <v>0</v>
      </c>
      <c r="F21" s="20">
        <v>80721</v>
      </c>
      <c r="G21" s="43">
        <v>81515</v>
      </c>
    </row>
    <row r="22" spans="1:7" x14ac:dyDescent="0.2">
      <c r="A22" s="42" t="s">
        <v>161</v>
      </c>
      <c r="B22" s="20">
        <v>22602</v>
      </c>
      <c r="C22" s="20">
        <v>10959</v>
      </c>
      <c r="D22" s="20">
        <v>11872</v>
      </c>
      <c r="E22" s="20">
        <v>0</v>
      </c>
      <c r="F22" s="20">
        <v>22831</v>
      </c>
      <c r="G22" s="43">
        <v>23056</v>
      </c>
    </row>
    <row r="23" spans="1:7" x14ac:dyDescent="0.2">
      <c r="A23" s="42" t="s">
        <v>162</v>
      </c>
      <c r="B23" s="20">
        <v>65280</v>
      </c>
      <c r="C23" s="20">
        <v>31653</v>
      </c>
      <c r="D23" s="20">
        <v>34291</v>
      </c>
      <c r="E23" s="20">
        <v>0</v>
      </c>
      <c r="F23" s="20">
        <v>65943</v>
      </c>
      <c r="G23" s="43">
        <v>66592</v>
      </c>
    </row>
    <row r="24" spans="1:7" x14ac:dyDescent="0.2">
      <c r="A24" s="42" t="s">
        <v>163</v>
      </c>
      <c r="B24" s="20">
        <v>66239</v>
      </c>
      <c r="C24" s="20">
        <v>32118</v>
      </c>
      <c r="D24" s="20">
        <v>34794</v>
      </c>
      <c r="E24" s="20">
        <v>0</v>
      </c>
      <c r="F24" s="20">
        <v>66912</v>
      </c>
      <c r="G24" s="43">
        <v>67570</v>
      </c>
    </row>
    <row r="25" spans="1:7" x14ac:dyDescent="0.2">
      <c r="A25" s="42" t="s">
        <v>164</v>
      </c>
      <c r="B25" s="20">
        <v>39568</v>
      </c>
      <c r="C25" s="20">
        <v>19186</v>
      </c>
      <c r="D25" s="20">
        <v>20785</v>
      </c>
      <c r="E25" s="20">
        <v>0</v>
      </c>
      <c r="F25" s="20">
        <v>39970</v>
      </c>
      <c r="G25" s="43">
        <v>40363</v>
      </c>
    </row>
    <row r="26" spans="1:7" x14ac:dyDescent="0.2">
      <c r="A26" s="42" t="s">
        <v>165</v>
      </c>
      <c r="B26" s="20">
        <v>267368</v>
      </c>
      <c r="C26" s="20">
        <v>129642</v>
      </c>
      <c r="D26" s="20">
        <v>140445</v>
      </c>
      <c r="E26" s="20">
        <v>0</v>
      </c>
      <c r="F26" s="20">
        <v>270086</v>
      </c>
      <c r="G26" s="43">
        <v>272743</v>
      </c>
    </row>
    <row r="27" spans="1:7" x14ac:dyDescent="0.2">
      <c r="A27" s="42" t="s">
        <v>166</v>
      </c>
      <c r="B27" s="20">
        <v>328038</v>
      </c>
      <c r="C27" s="20">
        <v>159059</v>
      </c>
      <c r="D27" s="20">
        <v>172314</v>
      </c>
      <c r="E27" s="20">
        <v>0</v>
      </c>
      <c r="F27" s="20">
        <v>331374</v>
      </c>
      <c r="G27" s="43">
        <v>334633</v>
      </c>
    </row>
    <row r="28" spans="1:7" x14ac:dyDescent="0.2">
      <c r="A28" s="42" t="s">
        <v>167</v>
      </c>
      <c r="B28" s="20">
        <v>164206</v>
      </c>
      <c r="C28" s="20">
        <v>79620</v>
      </c>
      <c r="D28" s="20">
        <v>86255</v>
      </c>
      <c r="E28" s="20">
        <v>0</v>
      </c>
      <c r="F28" s="20">
        <v>165876</v>
      </c>
      <c r="G28" s="43">
        <v>167507</v>
      </c>
    </row>
    <row r="29" spans="1:7" x14ac:dyDescent="0.2">
      <c r="A29" s="42" t="s">
        <v>168</v>
      </c>
      <c r="B29" s="20">
        <v>144739</v>
      </c>
      <c r="C29" s="20">
        <v>70181</v>
      </c>
      <c r="D29" s="20">
        <v>76029</v>
      </c>
      <c r="E29" s="20">
        <v>0</v>
      </c>
      <c r="F29" s="20">
        <v>146210</v>
      </c>
      <c r="G29" s="43">
        <v>147648</v>
      </c>
    </row>
    <row r="30" spans="1:7" x14ac:dyDescent="0.2">
      <c r="A30" s="42" t="s">
        <v>169</v>
      </c>
      <c r="B30" s="20">
        <v>18781</v>
      </c>
      <c r="C30" s="20">
        <v>9107</v>
      </c>
      <c r="D30" s="20">
        <v>9865</v>
      </c>
      <c r="E30" s="20">
        <v>0</v>
      </c>
      <c r="F30" s="20">
        <v>18972</v>
      </c>
      <c r="G30" s="43">
        <v>19159</v>
      </c>
    </row>
    <row r="31" spans="1:7" x14ac:dyDescent="0.2">
      <c r="A31" s="42" t="s">
        <v>170</v>
      </c>
      <c r="B31" s="20">
        <v>121312</v>
      </c>
      <c r="C31" s="20">
        <v>58822</v>
      </c>
      <c r="D31" s="20">
        <v>63723</v>
      </c>
      <c r="E31" s="20">
        <v>0</v>
      </c>
      <c r="F31" s="20">
        <v>122545</v>
      </c>
      <c r="G31" s="43">
        <v>123750</v>
      </c>
    </row>
    <row r="32" spans="1:7" x14ac:dyDescent="0.2">
      <c r="A32" s="42" t="s">
        <v>171</v>
      </c>
      <c r="B32" s="20">
        <v>34344</v>
      </c>
      <c r="C32" s="20">
        <v>16653</v>
      </c>
      <c r="D32" s="20">
        <v>18041</v>
      </c>
      <c r="E32" s="20">
        <v>0</v>
      </c>
      <c r="F32" s="20">
        <v>34694</v>
      </c>
      <c r="G32" s="43">
        <v>35035</v>
      </c>
    </row>
    <row r="33" spans="1:7" x14ac:dyDescent="0.2">
      <c r="A33" s="42" t="s">
        <v>172</v>
      </c>
      <c r="B33" s="20">
        <v>34360</v>
      </c>
      <c r="C33" s="20">
        <v>16660</v>
      </c>
      <c r="D33" s="20">
        <v>18049</v>
      </c>
      <c r="E33" s="20">
        <v>0</v>
      </c>
      <c r="F33" s="20">
        <v>34709</v>
      </c>
      <c r="G33" s="43">
        <v>35051</v>
      </c>
    </row>
    <row r="34" spans="1:7" x14ac:dyDescent="0.2">
      <c r="A34" s="42" t="s">
        <v>173</v>
      </c>
      <c r="B34" s="20">
        <v>85595</v>
      </c>
      <c r="C34" s="20">
        <v>41503</v>
      </c>
      <c r="D34" s="20">
        <v>44962</v>
      </c>
      <c r="E34" s="20">
        <v>0</v>
      </c>
      <c r="F34" s="20">
        <v>86466</v>
      </c>
      <c r="G34" s="43">
        <v>87316</v>
      </c>
    </row>
    <row r="35" spans="1:7" x14ac:dyDescent="0.2">
      <c r="A35" s="42" t="s">
        <v>174</v>
      </c>
      <c r="B35" s="20">
        <v>26628</v>
      </c>
      <c r="C35" s="20">
        <v>12911</v>
      </c>
      <c r="D35" s="20">
        <v>13987</v>
      </c>
      <c r="E35" s="20">
        <v>0</v>
      </c>
      <c r="F35" s="20">
        <v>26898</v>
      </c>
      <c r="G35" s="43">
        <v>27163</v>
      </c>
    </row>
    <row r="36" spans="1:7" x14ac:dyDescent="0.2">
      <c r="A36" s="42" t="s">
        <v>175</v>
      </c>
      <c r="B36" s="20">
        <v>835517</v>
      </c>
      <c r="C36" s="20">
        <v>405126</v>
      </c>
      <c r="D36" s="20">
        <v>438886</v>
      </c>
      <c r="E36" s="20">
        <v>0</v>
      </c>
      <c r="F36" s="20">
        <v>844012</v>
      </c>
      <c r="G36" s="43">
        <v>852313</v>
      </c>
    </row>
    <row r="37" spans="1:7" x14ac:dyDescent="0.2">
      <c r="A37" s="42" t="s">
        <v>176</v>
      </c>
      <c r="B37" s="20">
        <v>40703</v>
      </c>
      <c r="C37" s="20">
        <v>19736</v>
      </c>
      <c r="D37" s="20">
        <v>21381</v>
      </c>
      <c r="E37" s="20">
        <v>0</v>
      </c>
      <c r="F37" s="20">
        <v>41117</v>
      </c>
      <c r="G37" s="43">
        <v>41522</v>
      </c>
    </row>
    <row r="38" spans="1:7" x14ac:dyDescent="0.2">
      <c r="A38" s="42" t="s">
        <v>177</v>
      </c>
      <c r="B38" s="20">
        <v>1897045</v>
      </c>
      <c r="C38" s="20">
        <v>919840</v>
      </c>
      <c r="D38" s="20">
        <v>996493</v>
      </c>
      <c r="E38" s="20">
        <v>0</v>
      </c>
      <c r="F38" s="20">
        <v>1916334</v>
      </c>
      <c r="G38" s="43">
        <v>1935181</v>
      </c>
    </row>
    <row r="39" spans="1:7" x14ac:dyDescent="0.2">
      <c r="A39" s="42" t="s">
        <v>178</v>
      </c>
      <c r="B39" s="20">
        <v>142723</v>
      </c>
      <c r="C39" s="20">
        <v>69204</v>
      </c>
      <c r="D39" s="20">
        <v>74971</v>
      </c>
      <c r="E39" s="20">
        <v>0</v>
      </c>
      <c r="F39" s="20">
        <v>144174</v>
      </c>
      <c r="G39" s="43">
        <v>145592</v>
      </c>
    </row>
    <row r="40" spans="1:7" x14ac:dyDescent="0.2">
      <c r="A40" s="42" t="s">
        <v>179</v>
      </c>
      <c r="B40" s="20">
        <v>7011</v>
      </c>
      <c r="C40" s="20">
        <v>3399</v>
      </c>
      <c r="D40" s="20">
        <v>3683</v>
      </c>
      <c r="E40" s="20">
        <v>0</v>
      </c>
      <c r="F40" s="20">
        <v>7082</v>
      </c>
      <c r="G40" s="43">
        <v>7152</v>
      </c>
    </row>
    <row r="41" spans="1:7" x14ac:dyDescent="0.2">
      <c r="A41" s="42" t="s">
        <v>180</v>
      </c>
      <c r="B41" s="20">
        <v>239966</v>
      </c>
      <c r="C41" s="20">
        <v>116355</v>
      </c>
      <c r="D41" s="20">
        <v>126051</v>
      </c>
      <c r="E41" s="20">
        <v>0</v>
      </c>
      <c r="F41" s="20">
        <v>242406</v>
      </c>
      <c r="G41" s="43">
        <v>244790</v>
      </c>
    </row>
    <row r="42" spans="1:7" x14ac:dyDescent="0.2">
      <c r="A42" s="42" t="s">
        <v>181</v>
      </c>
      <c r="B42" s="20">
        <v>41933</v>
      </c>
      <c r="C42" s="20">
        <v>20333</v>
      </c>
      <c r="D42" s="20">
        <v>22027</v>
      </c>
      <c r="E42" s="20">
        <v>0</v>
      </c>
      <c r="F42" s="20">
        <v>42360</v>
      </c>
      <c r="G42" s="43">
        <v>42776</v>
      </c>
    </row>
    <row r="43" spans="1:7" x14ac:dyDescent="0.2">
      <c r="A43" s="42" t="s">
        <v>182</v>
      </c>
      <c r="B43" s="20">
        <v>196838</v>
      </c>
      <c r="C43" s="20">
        <v>95443</v>
      </c>
      <c r="D43" s="20">
        <v>103397</v>
      </c>
      <c r="E43" s="20">
        <v>0</v>
      </c>
      <c r="F43" s="20">
        <v>198840</v>
      </c>
      <c r="G43" s="43">
        <v>200795</v>
      </c>
    </row>
    <row r="44" spans="1:7" x14ac:dyDescent="0.2">
      <c r="A44" s="42" t="s">
        <v>183</v>
      </c>
      <c r="B44" s="20">
        <v>422605</v>
      </c>
      <c r="C44" s="20">
        <v>204913</v>
      </c>
      <c r="D44" s="20">
        <v>221989</v>
      </c>
      <c r="E44" s="20">
        <v>0</v>
      </c>
      <c r="F44" s="20">
        <v>426902</v>
      </c>
      <c r="G44" s="43">
        <v>431101</v>
      </c>
    </row>
    <row r="45" spans="1:7" x14ac:dyDescent="0.2">
      <c r="A45" s="42" t="s">
        <v>184</v>
      </c>
      <c r="B45" s="20">
        <v>78494</v>
      </c>
      <c r="C45" s="20">
        <v>38060</v>
      </c>
      <c r="D45" s="20">
        <v>41232</v>
      </c>
      <c r="E45" s="20">
        <v>0</v>
      </c>
      <c r="F45" s="20">
        <v>79292</v>
      </c>
      <c r="G45" s="43">
        <v>80072</v>
      </c>
    </row>
    <row r="46" spans="1:7" x14ac:dyDescent="0.2">
      <c r="A46" s="42" t="s">
        <v>185</v>
      </c>
      <c r="B46" s="20">
        <v>23080</v>
      </c>
      <c r="C46" s="20">
        <v>11191</v>
      </c>
      <c r="D46" s="20">
        <v>12123</v>
      </c>
      <c r="E46" s="20">
        <v>0</v>
      </c>
      <c r="F46" s="20">
        <v>23314</v>
      </c>
      <c r="G46" s="43">
        <v>23544</v>
      </c>
    </row>
    <row r="47" spans="1:7" x14ac:dyDescent="0.2">
      <c r="A47" s="42" t="s">
        <v>186</v>
      </c>
      <c r="B47" s="20">
        <v>17557</v>
      </c>
      <c r="C47" s="20">
        <v>8513</v>
      </c>
      <c r="D47" s="20">
        <v>9222</v>
      </c>
      <c r="E47" s="20">
        <v>0</v>
      </c>
      <c r="F47" s="20">
        <v>17736</v>
      </c>
      <c r="G47" s="43">
        <v>17910</v>
      </c>
    </row>
    <row r="48" spans="1:7" x14ac:dyDescent="0.2">
      <c r="A48" s="42" t="s">
        <v>187</v>
      </c>
      <c r="B48" s="20">
        <v>89834</v>
      </c>
      <c r="C48" s="20">
        <v>43559</v>
      </c>
      <c r="D48" s="20">
        <v>47189</v>
      </c>
      <c r="E48" s="20">
        <v>0</v>
      </c>
      <c r="F48" s="20">
        <v>90747</v>
      </c>
      <c r="G48" s="43">
        <v>91640</v>
      </c>
    </row>
    <row r="49" spans="1:7" x14ac:dyDescent="0.2">
      <c r="A49" s="42" t="s">
        <v>188</v>
      </c>
      <c r="B49" s="20">
        <v>761811</v>
      </c>
      <c r="C49" s="20">
        <v>369387</v>
      </c>
      <c r="D49" s="20">
        <v>400170</v>
      </c>
      <c r="E49" s="20">
        <v>0</v>
      </c>
      <c r="F49" s="20">
        <v>769557</v>
      </c>
      <c r="G49" s="43">
        <v>777126</v>
      </c>
    </row>
    <row r="50" spans="1:7" x14ac:dyDescent="0.2">
      <c r="A50" s="42" t="s">
        <v>189</v>
      </c>
      <c r="B50" s="20">
        <v>148457</v>
      </c>
      <c r="C50" s="20">
        <v>71984</v>
      </c>
      <c r="D50" s="20">
        <v>77983</v>
      </c>
      <c r="E50" s="20">
        <v>0</v>
      </c>
      <c r="F50" s="20">
        <v>149966</v>
      </c>
      <c r="G50" s="43">
        <v>151441</v>
      </c>
    </row>
    <row r="51" spans="1:7" x14ac:dyDescent="0.2">
      <c r="A51" s="42" t="s">
        <v>190</v>
      </c>
      <c r="B51" s="20">
        <v>38147</v>
      </c>
      <c r="C51" s="20">
        <v>18497</v>
      </c>
      <c r="D51" s="20">
        <v>20038</v>
      </c>
      <c r="E51" s="20">
        <v>0</v>
      </c>
      <c r="F51" s="20">
        <v>38535</v>
      </c>
      <c r="G51" s="43">
        <v>38914</v>
      </c>
    </row>
    <row r="52" spans="1:7" x14ac:dyDescent="0.2">
      <c r="A52" s="42" t="s">
        <v>191</v>
      </c>
      <c r="B52" s="20">
        <v>86582</v>
      </c>
      <c r="C52" s="20">
        <v>41982</v>
      </c>
      <c r="D52" s="20">
        <v>45480</v>
      </c>
      <c r="E52" s="20">
        <v>0</v>
      </c>
      <c r="F52" s="20">
        <v>87462</v>
      </c>
      <c r="G52" s="43">
        <v>88322</v>
      </c>
    </row>
    <row r="53" spans="1:7" x14ac:dyDescent="0.2">
      <c r="A53" s="42" t="s">
        <v>192</v>
      </c>
      <c r="B53" s="20">
        <v>384685</v>
      </c>
      <c r="C53" s="20">
        <v>186526</v>
      </c>
      <c r="D53" s="20">
        <v>202070</v>
      </c>
      <c r="E53" s="20">
        <v>0</v>
      </c>
      <c r="F53" s="20">
        <v>388596</v>
      </c>
      <c r="G53" s="43">
        <v>392418</v>
      </c>
    </row>
    <row r="54" spans="1:7" x14ac:dyDescent="0.2">
      <c r="A54" s="42" t="s">
        <v>193</v>
      </c>
      <c r="B54" s="20">
        <v>38619</v>
      </c>
      <c r="C54" s="20">
        <v>18725</v>
      </c>
      <c r="D54" s="20">
        <v>20286</v>
      </c>
      <c r="E54" s="20">
        <v>0</v>
      </c>
      <c r="F54" s="20">
        <v>39011</v>
      </c>
      <c r="G54" s="43">
        <v>39395</v>
      </c>
    </row>
    <row r="55" spans="1:7" x14ac:dyDescent="0.2">
      <c r="A55" s="42" t="s">
        <v>194</v>
      </c>
      <c r="B55" s="20">
        <v>73116</v>
      </c>
      <c r="C55" s="20">
        <v>35452</v>
      </c>
      <c r="D55" s="20">
        <v>38407</v>
      </c>
      <c r="E55" s="20">
        <v>0</v>
      </c>
      <c r="F55" s="20">
        <v>73859</v>
      </c>
      <c r="G55" s="43">
        <v>74586</v>
      </c>
    </row>
    <row r="56" spans="1:7" x14ac:dyDescent="0.2">
      <c r="A56" s="42" t="s">
        <v>195</v>
      </c>
      <c r="B56" s="20">
        <v>10220</v>
      </c>
      <c r="C56" s="20">
        <v>4955</v>
      </c>
      <c r="D56" s="20">
        <v>5368</v>
      </c>
      <c r="E56" s="20">
        <v>0</v>
      </c>
      <c r="F56" s="20">
        <v>10324</v>
      </c>
      <c r="G56" s="43">
        <v>10425</v>
      </c>
    </row>
    <row r="57" spans="1:7" x14ac:dyDescent="0.2">
      <c r="A57" s="42" t="s">
        <v>196</v>
      </c>
      <c r="B57" s="20">
        <v>1718</v>
      </c>
      <c r="C57" s="20">
        <v>833</v>
      </c>
      <c r="D57" s="20">
        <v>902</v>
      </c>
      <c r="E57" s="20">
        <v>0</v>
      </c>
      <c r="F57" s="20">
        <v>1735</v>
      </c>
      <c r="G57" s="43">
        <v>1752</v>
      </c>
    </row>
    <row r="58" spans="1:7" x14ac:dyDescent="0.2">
      <c r="A58" s="42" t="s">
        <v>197</v>
      </c>
      <c r="B58" s="20">
        <v>0</v>
      </c>
      <c r="C58" s="20">
        <v>0</v>
      </c>
      <c r="D58" s="20">
        <v>0</v>
      </c>
      <c r="E58" s="20">
        <v>0</v>
      </c>
      <c r="F58" s="20">
        <v>0</v>
      </c>
      <c r="G58" s="43">
        <v>0</v>
      </c>
    </row>
    <row r="59" spans="1:7" x14ac:dyDescent="0.2">
      <c r="A59" s="42" t="s">
        <v>198</v>
      </c>
      <c r="B59" s="20">
        <v>15</v>
      </c>
      <c r="C59" s="20">
        <v>7</v>
      </c>
      <c r="D59" s="20">
        <v>8</v>
      </c>
      <c r="E59" s="20">
        <v>0</v>
      </c>
      <c r="F59" s="20">
        <v>15</v>
      </c>
      <c r="G59" s="43">
        <v>15</v>
      </c>
    </row>
    <row r="60" spans="1:7" x14ac:dyDescent="0.2">
      <c r="A60" s="42" t="s">
        <v>199</v>
      </c>
      <c r="B60" s="20">
        <v>63616</v>
      </c>
      <c r="C60" s="20">
        <v>30846</v>
      </c>
      <c r="D60" s="20">
        <v>33417</v>
      </c>
      <c r="E60" s="20">
        <v>0</v>
      </c>
      <c r="F60" s="20">
        <v>64263</v>
      </c>
      <c r="G60" s="43">
        <v>64895</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0</v>
      </c>
      <c r="F62" s="20">
        <v>0</v>
      </c>
      <c r="G62" s="43">
        <v>0</v>
      </c>
    </row>
    <row r="63" spans="1:7" x14ac:dyDescent="0.2">
      <c r="A63" s="42" t="s">
        <v>202</v>
      </c>
      <c r="B63" s="20">
        <v>0</v>
      </c>
      <c r="C63" s="20">
        <v>0</v>
      </c>
      <c r="D63" s="20">
        <v>0</v>
      </c>
      <c r="E63" s="20">
        <v>0</v>
      </c>
      <c r="F63" s="20">
        <v>0</v>
      </c>
      <c r="G63" s="43">
        <v>0</v>
      </c>
    </row>
    <row r="64" spans="1:7" x14ac:dyDescent="0.2">
      <c r="A64" s="42" t="s">
        <v>203</v>
      </c>
      <c r="B64" s="20" t="s">
        <v>564</v>
      </c>
      <c r="C64" s="20" t="s">
        <v>565</v>
      </c>
      <c r="D64" s="20" t="s">
        <v>566</v>
      </c>
      <c r="E64" s="20">
        <v>0</v>
      </c>
      <c r="F64" s="20">
        <v>78000</v>
      </c>
      <c r="G64" s="43" t="s">
        <v>567</v>
      </c>
    </row>
    <row r="65" spans="1:7" ht="15" customHeight="1" x14ac:dyDescent="0.2">
      <c r="A65" s="44" t="s">
        <v>204</v>
      </c>
      <c r="B65" s="45">
        <v>11853597</v>
      </c>
      <c r="C65" s="45">
        <v>5747519</v>
      </c>
      <c r="D65" s="45">
        <v>6226481</v>
      </c>
      <c r="E65" s="45">
        <v>0</v>
      </c>
      <c r="F65" s="45">
        <v>11973998</v>
      </c>
      <c r="G65" s="51">
        <v>12094003</v>
      </c>
    </row>
    <row r="66" spans="1:7" ht="15" customHeight="1" x14ac:dyDescent="0.2">
      <c r="A66" s="101" t="s">
        <v>205</v>
      </c>
      <c r="B66" s="101"/>
      <c r="C66" s="101"/>
      <c r="D66" s="101"/>
      <c r="E66" s="101"/>
      <c r="F66" s="101"/>
      <c r="G66" s="101"/>
    </row>
    <row r="67" spans="1:7" ht="15" customHeight="1" x14ac:dyDescent="0.2">
      <c r="A67" s="102" t="s">
        <v>609</v>
      </c>
      <c r="B67" s="102"/>
      <c r="C67" s="102"/>
      <c r="D67" s="102"/>
      <c r="E67" s="102"/>
      <c r="F67" s="102"/>
      <c r="G67" s="102"/>
    </row>
    <row r="68" spans="1:7" ht="15" customHeight="1" x14ac:dyDescent="0.2">
      <c r="A68" s="102" t="s">
        <v>610</v>
      </c>
      <c r="B68" s="102"/>
      <c r="C68" s="102"/>
      <c r="D68" s="102"/>
      <c r="E68" s="102"/>
      <c r="F68" s="102"/>
      <c r="G68" s="102"/>
    </row>
    <row r="69" spans="1:7" ht="15" customHeight="1" x14ac:dyDescent="0.2">
      <c r="A69" s="102" t="s">
        <v>611</v>
      </c>
      <c r="B69" s="102"/>
      <c r="C69" s="102"/>
      <c r="D69" s="102"/>
      <c r="E69" s="102"/>
      <c r="F69" s="102"/>
      <c r="G69" s="102"/>
    </row>
    <row r="70" spans="1:7" ht="15" customHeight="1" x14ac:dyDescent="0.2">
      <c r="A70" s="102" t="s">
        <v>612</v>
      </c>
      <c r="B70" s="102"/>
      <c r="C70" s="102"/>
      <c r="D70" s="102"/>
      <c r="E70" s="102"/>
      <c r="F70" s="102"/>
      <c r="G70" s="102"/>
    </row>
  </sheetData>
  <mergeCells count="9">
    <mergeCell ref="A68:G68"/>
    <mergeCell ref="A69:G69"/>
    <mergeCell ref="A70:G70"/>
    <mergeCell ref="A4:A5"/>
    <mergeCell ref="B4:B5"/>
    <mergeCell ref="F4:F5"/>
    <mergeCell ref="G4:G5"/>
    <mergeCell ref="A66:G66"/>
    <mergeCell ref="A67:G67"/>
  </mergeCells>
  <pageMargins left="0.7" right="0.7" top="0.75" bottom="0.75" header="0.3" footer="0.3"/>
  <pageSetup orientation="portrait" horizontalDpi="1200" verticalDpi="1200"/>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5" t="s">
        <v>658</v>
      </c>
      <c r="B1" s="16"/>
      <c r="C1" s="16"/>
      <c r="D1" s="16"/>
      <c r="E1" s="16"/>
      <c r="F1" s="16"/>
      <c r="G1" s="55" t="s">
        <v>256</v>
      </c>
    </row>
    <row r="2" spans="1:7" x14ac:dyDescent="0.2">
      <c r="A2" s="17" t="s">
        <v>363</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18017</v>
      </c>
      <c r="C6" s="20">
        <v>538</v>
      </c>
      <c r="D6" s="20">
        <v>17408</v>
      </c>
      <c r="E6" s="20">
        <v>0</v>
      </c>
      <c r="F6" s="20">
        <v>17946</v>
      </c>
      <c r="G6" s="43">
        <v>20465</v>
      </c>
    </row>
    <row r="7" spans="1:7" x14ac:dyDescent="0.2">
      <c r="A7" s="42" t="s">
        <v>146</v>
      </c>
      <c r="B7" s="20">
        <v>9607</v>
      </c>
      <c r="C7" s="20">
        <v>288</v>
      </c>
      <c r="D7" s="20">
        <v>9318</v>
      </c>
      <c r="E7" s="20">
        <v>0</v>
      </c>
      <c r="F7" s="20">
        <v>9606</v>
      </c>
      <c r="G7" s="43">
        <v>10954</v>
      </c>
    </row>
    <row r="8" spans="1:7" x14ac:dyDescent="0.2">
      <c r="A8" s="42" t="s">
        <v>147</v>
      </c>
      <c r="B8" s="20">
        <v>16785</v>
      </c>
      <c r="C8" s="20">
        <v>325</v>
      </c>
      <c r="D8" s="20">
        <v>10515</v>
      </c>
      <c r="E8" s="20">
        <v>0</v>
      </c>
      <c r="F8" s="20">
        <v>10840</v>
      </c>
      <c r="G8" s="43">
        <v>12362</v>
      </c>
    </row>
    <row r="9" spans="1:7" x14ac:dyDescent="0.2">
      <c r="A9" s="42" t="s">
        <v>148</v>
      </c>
      <c r="B9" s="20">
        <v>10563</v>
      </c>
      <c r="C9" s="20">
        <v>315</v>
      </c>
      <c r="D9" s="20">
        <v>10184</v>
      </c>
      <c r="E9" s="20">
        <v>0</v>
      </c>
      <c r="F9" s="20">
        <v>10499</v>
      </c>
      <c r="G9" s="43">
        <v>11973</v>
      </c>
    </row>
    <row r="10" spans="1:7" x14ac:dyDescent="0.2">
      <c r="A10" s="42" t="s">
        <v>149</v>
      </c>
      <c r="B10" s="20">
        <v>120363</v>
      </c>
      <c r="C10" s="20">
        <v>3444</v>
      </c>
      <c r="D10" s="20">
        <v>111341</v>
      </c>
      <c r="E10" s="20">
        <v>0</v>
      </c>
      <c r="F10" s="20">
        <v>114785</v>
      </c>
      <c r="G10" s="43">
        <v>130898</v>
      </c>
    </row>
    <row r="11" spans="1:7" x14ac:dyDescent="0.2">
      <c r="A11" s="42" t="s">
        <v>150</v>
      </c>
      <c r="B11" s="20">
        <v>12840</v>
      </c>
      <c r="C11" s="20">
        <v>385</v>
      </c>
      <c r="D11" s="20">
        <v>12453</v>
      </c>
      <c r="E11" s="20">
        <v>0</v>
      </c>
      <c r="F11" s="20">
        <v>12838</v>
      </c>
      <c r="G11" s="43">
        <v>14640</v>
      </c>
    </row>
    <row r="12" spans="1:7" x14ac:dyDescent="0.2">
      <c r="A12" s="42" t="s">
        <v>151</v>
      </c>
      <c r="B12" s="20">
        <v>19664</v>
      </c>
      <c r="C12" s="20">
        <v>590</v>
      </c>
      <c r="D12" s="20">
        <v>19072</v>
      </c>
      <c r="E12" s="20">
        <v>0</v>
      </c>
      <c r="F12" s="20">
        <v>19662</v>
      </c>
      <c r="G12" s="43">
        <v>22422</v>
      </c>
    </row>
    <row r="13" spans="1:7" x14ac:dyDescent="0.2">
      <c r="A13" s="42" t="s">
        <v>152</v>
      </c>
      <c r="B13" s="20">
        <v>7880</v>
      </c>
      <c r="C13" s="20">
        <v>236</v>
      </c>
      <c r="D13" s="20">
        <v>7643</v>
      </c>
      <c r="E13" s="20">
        <v>0</v>
      </c>
      <c r="F13" s="20">
        <v>7879</v>
      </c>
      <c r="G13" s="43">
        <v>8985</v>
      </c>
    </row>
    <row r="14" spans="1:7" x14ac:dyDescent="0.2">
      <c r="A14" s="42" t="s">
        <v>153</v>
      </c>
      <c r="B14" s="20">
        <v>7880</v>
      </c>
      <c r="C14" s="20">
        <v>236</v>
      </c>
      <c r="D14" s="20">
        <v>7643</v>
      </c>
      <c r="E14" s="20">
        <v>0</v>
      </c>
      <c r="F14" s="20">
        <v>7879</v>
      </c>
      <c r="G14" s="43">
        <v>8985</v>
      </c>
    </row>
    <row r="15" spans="1:7" x14ac:dyDescent="0.2">
      <c r="A15" s="42" t="s">
        <v>154</v>
      </c>
      <c r="B15" s="20">
        <v>71873</v>
      </c>
      <c r="C15" s="20">
        <v>1625</v>
      </c>
      <c r="D15" s="20">
        <v>52550</v>
      </c>
      <c r="E15" s="20">
        <v>0</v>
      </c>
      <c r="F15" s="20">
        <v>54175</v>
      </c>
      <c r="G15" s="43">
        <v>61780</v>
      </c>
    </row>
    <row r="16" spans="1:7" x14ac:dyDescent="0.2">
      <c r="A16" s="42" t="s">
        <v>155</v>
      </c>
      <c r="B16" s="20">
        <v>29795</v>
      </c>
      <c r="C16" s="20">
        <v>814</v>
      </c>
      <c r="D16" s="20">
        <v>26322</v>
      </c>
      <c r="E16" s="20">
        <v>0</v>
      </c>
      <c r="F16" s="20">
        <v>27136</v>
      </c>
      <c r="G16" s="43">
        <v>30945</v>
      </c>
    </row>
    <row r="17" spans="1:7" x14ac:dyDescent="0.2">
      <c r="A17" s="42" t="s">
        <v>156</v>
      </c>
      <c r="B17" s="20">
        <v>24738</v>
      </c>
      <c r="C17" s="20">
        <v>373</v>
      </c>
      <c r="D17" s="20">
        <v>12057</v>
      </c>
      <c r="E17" s="20">
        <v>0</v>
      </c>
      <c r="F17" s="20">
        <v>12430</v>
      </c>
      <c r="G17" s="43">
        <v>14175</v>
      </c>
    </row>
    <row r="18" spans="1:7" x14ac:dyDescent="0.2">
      <c r="A18" s="42" t="s">
        <v>157</v>
      </c>
      <c r="B18" s="20">
        <v>7880</v>
      </c>
      <c r="C18" s="20">
        <v>236</v>
      </c>
      <c r="D18" s="20">
        <v>7643</v>
      </c>
      <c r="E18" s="20">
        <v>0</v>
      </c>
      <c r="F18" s="20">
        <v>7879</v>
      </c>
      <c r="G18" s="43">
        <v>8985</v>
      </c>
    </row>
    <row r="19" spans="1:7" x14ac:dyDescent="0.2">
      <c r="A19" s="42" t="s">
        <v>158</v>
      </c>
      <c r="B19" s="20">
        <v>72597</v>
      </c>
      <c r="C19" s="20">
        <v>2178</v>
      </c>
      <c r="D19" s="20">
        <v>70409</v>
      </c>
      <c r="E19" s="20">
        <v>0</v>
      </c>
      <c r="F19" s="20">
        <v>72587</v>
      </c>
      <c r="G19" s="43">
        <v>82776</v>
      </c>
    </row>
    <row r="20" spans="1:7" x14ac:dyDescent="0.2">
      <c r="A20" s="42" t="s">
        <v>159</v>
      </c>
      <c r="B20" s="20">
        <v>38685</v>
      </c>
      <c r="C20" s="20">
        <v>1160</v>
      </c>
      <c r="D20" s="20">
        <v>37519</v>
      </c>
      <c r="E20" s="20">
        <v>0</v>
      </c>
      <c r="F20" s="20">
        <v>38679</v>
      </c>
      <c r="G20" s="43">
        <v>44109</v>
      </c>
    </row>
    <row r="21" spans="1:7" x14ac:dyDescent="0.2">
      <c r="A21" s="42" t="s">
        <v>160</v>
      </c>
      <c r="B21" s="20">
        <v>21700</v>
      </c>
      <c r="C21" s="20">
        <v>652</v>
      </c>
      <c r="D21" s="20">
        <v>21070</v>
      </c>
      <c r="E21" s="20">
        <v>0</v>
      </c>
      <c r="F21" s="20">
        <v>21722</v>
      </c>
      <c r="G21" s="43">
        <v>24771</v>
      </c>
    </row>
    <row r="22" spans="1:7" x14ac:dyDescent="0.2">
      <c r="A22" s="42" t="s">
        <v>161</v>
      </c>
      <c r="B22" s="20">
        <v>14489</v>
      </c>
      <c r="C22" s="20">
        <v>435</v>
      </c>
      <c r="D22" s="20">
        <v>14052</v>
      </c>
      <c r="E22" s="20">
        <v>0</v>
      </c>
      <c r="F22" s="20">
        <v>14487</v>
      </c>
      <c r="G22" s="43">
        <v>16520</v>
      </c>
    </row>
    <row r="23" spans="1:7" x14ac:dyDescent="0.2">
      <c r="A23" s="42" t="s">
        <v>162</v>
      </c>
      <c r="B23" s="20">
        <v>20429</v>
      </c>
      <c r="C23" s="20">
        <v>613</v>
      </c>
      <c r="D23" s="20">
        <v>19814</v>
      </c>
      <c r="E23" s="20">
        <v>0</v>
      </c>
      <c r="F23" s="20">
        <v>20427</v>
      </c>
      <c r="G23" s="43">
        <v>23294</v>
      </c>
    </row>
    <row r="24" spans="1:7" x14ac:dyDescent="0.2">
      <c r="A24" s="42" t="s">
        <v>163</v>
      </c>
      <c r="B24" s="20">
        <v>17647</v>
      </c>
      <c r="C24" s="20">
        <v>529</v>
      </c>
      <c r="D24" s="20">
        <v>17114</v>
      </c>
      <c r="E24" s="20">
        <v>0</v>
      </c>
      <c r="F24" s="20">
        <v>17643</v>
      </c>
      <c r="G24" s="43">
        <v>20120</v>
      </c>
    </row>
    <row r="25" spans="1:7" x14ac:dyDescent="0.2">
      <c r="A25" s="42" t="s">
        <v>164</v>
      </c>
      <c r="B25" s="20">
        <v>12426</v>
      </c>
      <c r="C25" s="20">
        <v>373</v>
      </c>
      <c r="D25" s="20">
        <v>12051</v>
      </c>
      <c r="E25" s="20">
        <v>0</v>
      </c>
      <c r="F25" s="20">
        <v>12424</v>
      </c>
      <c r="G25" s="43">
        <v>14168</v>
      </c>
    </row>
    <row r="26" spans="1:7" x14ac:dyDescent="0.2">
      <c r="A26" s="42" t="s">
        <v>165</v>
      </c>
      <c r="B26" s="20">
        <v>38823</v>
      </c>
      <c r="C26" s="20">
        <v>1165</v>
      </c>
      <c r="D26" s="20">
        <v>37652</v>
      </c>
      <c r="E26" s="20">
        <v>0</v>
      </c>
      <c r="F26" s="20">
        <v>38817</v>
      </c>
      <c r="G26" s="43">
        <v>44266</v>
      </c>
    </row>
    <row r="27" spans="1:7" x14ac:dyDescent="0.2">
      <c r="A27" s="42" t="s">
        <v>166</v>
      </c>
      <c r="B27" s="20">
        <v>54499</v>
      </c>
      <c r="C27" s="20">
        <v>1635</v>
      </c>
      <c r="D27" s="20">
        <v>52856</v>
      </c>
      <c r="E27" s="20">
        <v>0</v>
      </c>
      <c r="F27" s="20">
        <v>54491</v>
      </c>
      <c r="G27" s="43">
        <v>62140</v>
      </c>
    </row>
    <row r="28" spans="1:7" x14ac:dyDescent="0.2">
      <c r="A28" s="42" t="s">
        <v>167</v>
      </c>
      <c r="B28" s="20">
        <v>69034</v>
      </c>
      <c r="C28" s="20">
        <v>2070</v>
      </c>
      <c r="D28" s="20">
        <v>66940</v>
      </c>
      <c r="E28" s="20">
        <v>0</v>
      </c>
      <c r="F28" s="20">
        <v>69010</v>
      </c>
      <c r="G28" s="43">
        <v>78697</v>
      </c>
    </row>
    <row r="29" spans="1:7" x14ac:dyDescent="0.2">
      <c r="A29" s="42" t="s">
        <v>168</v>
      </c>
      <c r="B29" s="20">
        <v>29503</v>
      </c>
      <c r="C29" s="20">
        <v>885</v>
      </c>
      <c r="D29" s="20">
        <v>28614</v>
      </c>
      <c r="E29" s="20">
        <v>0</v>
      </c>
      <c r="F29" s="20">
        <v>29499</v>
      </c>
      <c r="G29" s="43">
        <v>33640</v>
      </c>
    </row>
    <row r="30" spans="1:7" x14ac:dyDescent="0.2">
      <c r="A30" s="42" t="s">
        <v>169</v>
      </c>
      <c r="B30" s="20">
        <v>14462</v>
      </c>
      <c r="C30" s="20">
        <v>434</v>
      </c>
      <c r="D30" s="20">
        <v>14026</v>
      </c>
      <c r="E30" s="20">
        <v>0</v>
      </c>
      <c r="F30" s="20">
        <v>14460</v>
      </c>
      <c r="G30" s="43">
        <v>16490</v>
      </c>
    </row>
    <row r="31" spans="1:7" x14ac:dyDescent="0.2">
      <c r="A31" s="42" t="s">
        <v>170</v>
      </c>
      <c r="B31" s="20">
        <v>44943</v>
      </c>
      <c r="C31" s="20">
        <v>1335</v>
      </c>
      <c r="D31" s="20">
        <v>43157</v>
      </c>
      <c r="E31" s="20">
        <v>0</v>
      </c>
      <c r="F31" s="20">
        <v>44492</v>
      </c>
      <c r="G31" s="43">
        <v>50737</v>
      </c>
    </row>
    <row r="32" spans="1:7" x14ac:dyDescent="0.2">
      <c r="A32" s="42" t="s">
        <v>171</v>
      </c>
      <c r="B32" s="20">
        <v>7880</v>
      </c>
      <c r="C32" s="20">
        <v>236</v>
      </c>
      <c r="D32" s="20">
        <v>7643</v>
      </c>
      <c r="E32" s="20">
        <v>0</v>
      </c>
      <c r="F32" s="20">
        <v>7879</v>
      </c>
      <c r="G32" s="43">
        <v>8985</v>
      </c>
    </row>
    <row r="33" spans="1:7" x14ac:dyDescent="0.2">
      <c r="A33" s="42" t="s">
        <v>172</v>
      </c>
      <c r="B33" s="20">
        <v>8210</v>
      </c>
      <c r="C33" s="20">
        <v>246</v>
      </c>
      <c r="D33" s="20">
        <v>7963</v>
      </c>
      <c r="E33" s="20">
        <v>0</v>
      </c>
      <c r="F33" s="20">
        <v>8209</v>
      </c>
      <c r="G33" s="43">
        <v>9361</v>
      </c>
    </row>
    <row r="34" spans="1:7" x14ac:dyDescent="0.2">
      <c r="A34" s="42" t="s">
        <v>173</v>
      </c>
      <c r="B34" s="20">
        <v>7880</v>
      </c>
      <c r="C34" s="20">
        <v>236</v>
      </c>
      <c r="D34" s="20">
        <v>7643</v>
      </c>
      <c r="E34" s="20">
        <v>0</v>
      </c>
      <c r="F34" s="20">
        <v>7879</v>
      </c>
      <c r="G34" s="43">
        <v>8985</v>
      </c>
    </row>
    <row r="35" spans="1:7" x14ac:dyDescent="0.2">
      <c r="A35" s="42" t="s">
        <v>174</v>
      </c>
      <c r="B35" s="20">
        <v>16041</v>
      </c>
      <c r="C35" s="20">
        <v>481</v>
      </c>
      <c r="D35" s="20">
        <v>15558</v>
      </c>
      <c r="E35" s="20">
        <v>0</v>
      </c>
      <c r="F35" s="20">
        <v>16039</v>
      </c>
      <c r="G35" s="43">
        <v>18290</v>
      </c>
    </row>
    <row r="36" spans="1:7" x14ac:dyDescent="0.2">
      <c r="A36" s="42" t="s">
        <v>175</v>
      </c>
      <c r="B36" s="20">
        <v>65594</v>
      </c>
      <c r="C36" s="20">
        <v>1968</v>
      </c>
      <c r="D36" s="20">
        <v>63617</v>
      </c>
      <c r="E36" s="20">
        <v>0</v>
      </c>
      <c r="F36" s="20">
        <v>65585</v>
      </c>
      <c r="G36" s="43">
        <v>74791</v>
      </c>
    </row>
    <row r="37" spans="1:7" x14ac:dyDescent="0.2">
      <c r="A37" s="42" t="s">
        <v>176</v>
      </c>
      <c r="B37" s="20">
        <v>9087</v>
      </c>
      <c r="C37" s="20">
        <v>236</v>
      </c>
      <c r="D37" s="20">
        <v>7643</v>
      </c>
      <c r="E37" s="20">
        <v>0</v>
      </c>
      <c r="F37" s="20">
        <v>7879</v>
      </c>
      <c r="G37" s="43">
        <v>8985</v>
      </c>
    </row>
    <row r="38" spans="1:7" x14ac:dyDescent="0.2">
      <c r="A38" s="42" t="s">
        <v>177</v>
      </c>
      <c r="B38" s="20">
        <v>177173</v>
      </c>
      <c r="C38" s="20">
        <v>5314</v>
      </c>
      <c r="D38" s="20">
        <v>171832</v>
      </c>
      <c r="E38" s="20">
        <v>0</v>
      </c>
      <c r="F38" s="20">
        <v>177146</v>
      </c>
      <c r="G38" s="43">
        <v>202015</v>
      </c>
    </row>
    <row r="39" spans="1:7" x14ac:dyDescent="0.2">
      <c r="A39" s="42" t="s">
        <v>178</v>
      </c>
      <c r="B39" s="20">
        <v>19573</v>
      </c>
      <c r="C39" s="20">
        <v>869</v>
      </c>
      <c r="D39" s="20">
        <v>28097</v>
      </c>
      <c r="E39" s="20">
        <v>0</v>
      </c>
      <c r="F39" s="20">
        <v>28966</v>
      </c>
      <c r="G39" s="43">
        <v>33032</v>
      </c>
    </row>
    <row r="40" spans="1:7" x14ac:dyDescent="0.2">
      <c r="A40" s="42" t="s">
        <v>179</v>
      </c>
      <c r="B40" s="20">
        <v>7913</v>
      </c>
      <c r="C40" s="20">
        <v>236</v>
      </c>
      <c r="D40" s="20">
        <v>7643</v>
      </c>
      <c r="E40" s="20">
        <v>0</v>
      </c>
      <c r="F40" s="20">
        <v>7879</v>
      </c>
      <c r="G40" s="43">
        <v>8985</v>
      </c>
    </row>
    <row r="41" spans="1:7" x14ac:dyDescent="0.2">
      <c r="A41" s="42" t="s">
        <v>180</v>
      </c>
      <c r="B41" s="20">
        <v>90364</v>
      </c>
      <c r="C41" s="20">
        <v>2711</v>
      </c>
      <c r="D41" s="20">
        <v>87641</v>
      </c>
      <c r="E41" s="20">
        <v>0</v>
      </c>
      <c r="F41" s="20">
        <v>90352</v>
      </c>
      <c r="G41" s="43">
        <v>103035</v>
      </c>
    </row>
    <row r="42" spans="1:7" x14ac:dyDescent="0.2">
      <c r="A42" s="42" t="s">
        <v>181</v>
      </c>
      <c r="B42" s="20">
        <v>13823</v>
      </c>
      <c r="C42" s="20">
        <v>389</v>
      </c>
      <c r="D42" s="20">
        <v>12578</v>
      </c>
      <c r="E42" s="20">
        <v>0</v>
      </c>
      <c r="F42" s="20">
        <v>12967</v>
      </c>
      <c r="G42" s="43">
        <v>14787</v>
      </c>
    </row>
    <row r="43" spans="1:7" x14ac:dyDescent="0.2">
      <c r="A43" s="42" t="s">
        <v>182</v>
      </c>
      <c r="B43" s="20">
        <v>18133</v>
      </c>
      <c r="C43" s="20">
        <v>544</v>
      </c>
      <c r="D43" s="20">
        <v>17586</v>
      </c>
      <c r="E43" s="20">
        <v>0</v>
      </c>
      <c r="F43" s="20">
        <v>18130</v>
      </c>
      <c r="G43" s="43">
        <v>20675</v>
      </c>
    </row>
    <row r="44" spans="1:7" x14ac:dyDescent="0.2">
      <c r="A44" s="42" t="s">
        <v>183</v>
      </c>
      <c r="B44" s="20">
        <v>63583</v>
      </c>
      <c r="C44" s="20">
        <v>1907</v>
      </c>
      <c r="D44" s="20">
        <v>61668</v>
      </c>
      <c r="E44" s="20">
        <v>0</v>
      </c>
      <c r="F44" s="20">
        <v>63575</v>
      </c>
      <c r="G44" s="43">
        <v>72499</v>
      </c>
    </row>
    <row r="45" spans="1:7" x14ac:dyDescent="0.2">
      <c r="A45" s="42" t="s">
        <v>184</v>
      </c>
      <c r="B45" s="20">
        <v>10778</v>
      </c>
      <c r="C45" s="20">
        <v>323</v>
      </c>
      <c r="D45" s="20">
        <v>10454</v>
      </c>
      <c r="E45" s="20">
        <v>0</v>
      </c>
      <c r="F45" s="20">
        <v>10777</v>
      </c>
      <c r="G45" s="43">
        <v>12289</v>
      </c>
    </row>
    <row r="46" spans="1:7" x14ac:dyDescent="0.2">
      <c r="A46" s="42" t="s">
        <v>185</v>
      </c>
      <c r="B46" s="20">
        <v>29117</v>
      </c>
      <c r="C46" s="20">
        <v>493</v>
      </c>
      <c r="D46" s="20">
        <v>15949</v>
      </c>
      <c r="E46" s="20">
        <v>0</v>
      </c>
      <c r="F46" s="20">
        <v>16442</v>
      </c>
      <c r="G46" s="43">
        <v>18750</v>
      </c>
    </row>
    <row r="47" spans="1:7" x14ac:dyDescent="0.2">
      <c r="A47" s="42" t="s">
        <v>186</v>
      </c>
      <c r="B47" s="20">
        <v>7880</v>
      </c>
      <c r="C47" s="20">
        <v>236</v>
      </c>
      <c r="D47" s="20">
        <v>7643</v>
      </c>
      <c r="E47" s="20">
        <v>0</v>
      </c>
      <c r="F47" s="20">
        <v>7879</v>
      </c>
      <c r="G47" s="43">
        <v>8985</v>
      </c>
    </row>
    <row r="48" spans="1:7" x14ac:dyDescent="0.2">
      <c r="A48" s="42" t="s">
        <v>187</v>
      </c>
      <c r="B48" s="20">
        <v>23318</v>
      </c>
      <c r="C48" s="20">
        <v>699</v>
      </c>
      <c r="D48" s="20">
        <v>22616</v>
      </c>
      <c r="E48" s="20">
        <v>0</v>
      </c>
      <c r="F48" s="20">
        <v>23315</v>
      </c>
      <c r="G48" s="43">
        <v>26588</v>
      </c>
    </row>
    <row r="49" spans="1:7" x14ac:dyDescent="0.2">
      <c r="A49" s="42" t="s">
        <v>188</v>
      </c>
      <c r="B49" s="20">
        <v>734</v>
      </c>
      <c r="C49" s="20">
        <v>2201</v>
      </c>
      <c r="D49" s="20">
        <v>71155</v>
      </c>
      <c r="E49" s="20">
        <v>0</v>
      </c>
      <c r="F49" s="20">
        <v>73356</v>
      </c>
      <c r="G49" s="43">
        <v>83653</v>
      </c>
    </row>
    <row r="50" spans="1:7" x14ac:dyDescent="0.2">
      <c r="A50" s="42" t="s">
        <v>189</v>
      </c>
      <c r="B50" s="20">
        <v>8458</v>
      </c>
      <c r="C50" s="20">
        <v>254</v>
      </c>
      <c r="D50" s="20">
        <v>8203</v>
      </c>
      <c r="E50" s="20">
        <v>0</v>
      </c>
      <c r="F50" s="20">
        <v>8457</v>
      </c>
      <c r="G50" s="43">
        <v>9644</v>
      </c>
    </row>
    <row r="51" spans="1:7" x14ac:dyDescent="0.2">
      <c r="A51" s="42" t="s">
        <v>190</v>
      </c>
      <c r="B51" s="20">
        <v>7880</v>
      </c>
      <c r="C51" s="20">
        <v>236</v>
      </c>
      <c r="D51" s="20">
        <v>7643</v>
      </c>
      <c r="E51" s="20">
        <v>0</v>
      </c>
      <c r="F51" s="20">
        <v>7879</v>
      </c>
      <c r="G51" s="43">
        <v>8985</v>
      </c>
    </row>
    <row r="52" spans="1:7" x14ac:dyDescent="0.2">
      <c r="A52" s="42" t="s">
        <v>191</v>
      </c>
      <c r="B52" s="20">
        <v>32850</v>
      </c>
      <c r="C52" s="20">
        <v>985</v>
      </c>
      <c r="D52" s="20">
        <v>31861</v>
      </c>
      <c r="E52" s="20">
        <v>0</v>
      </c>
      <c r="F52" s="20">
        <v>32846</v>
      </c>
      <c r="G52" s="43">
        <v>37456</v>
      </c>
    </row>
    <row r="53" spans="1:7" x14ac:dyDescent="0.2">
      <c r="A53" s="42" t="s">
        <v>192</v>
      </c>
      <c r="B53" s="20">
        <v>27914</v>
      </c>
      <c r="C53" s="20">
        <v>837</v>
      </c>
      <c r="D53" s="20">
        <v>27073</v>
      </c>
      <c r="E53" s="20">
        <v>0</v>
      </c>
      <c r="F53" s="20">
        <v>27910</v>
      </c>
      <c r="G53" s="43">
        <v>31828</v>
      </c>
    </row>
    <row r="54" spans="1:7" x14ac:dyDescent="0.2">
      <c r="A54" s="42" t="s">
        <v>193</v>
      </c>
      <c r="B54" s="20">
        <v>25023</v>
      </c>
      <c r="C54" s="20">
        <v>751</v>
      </c>
      <c r="D54" s="20">
        <v>24268</v>
      </c>
      <c r="E54" s="20">
        <v>0</v>
      </c>
      <c r="F54" s="20">
        <v>25019</v>
      </c>
      <c r="G54" s="43">
        <v>28531</v>
      </c>
    </row>
    <row r="55" spans="1:7" x14ac:dyDescent="0.2">
      <c r="A55" s="42" t="s">
        <v>194</v>
      </c>
      <c r="B55" s="20">
        <v>43395</v>
      </c>
      <c r="C55" s="20">
        <v>1302</v>
      </c>
      <c r="D55" s="20">
        <v>42087</v>
      </c>
      <c r="E55" s="20">
        <v>0</v>
      </c>
      <c r="F55" s="20">
        <v>43389</v>
      </c>
      <c r="G55" s="43">
        <v>49480</v>
      </c>
    </row>
    <row r="56" spans="1:7" x14ac:dyDescent="0.2">
      <c r="A56" s="42" t="s">
        <v>195</v>
      </c>
      <c r="B56" s="20">
        <v>7880</v>
      </c>
      <c r="C56" s="20">
        <v>236</v>
      </c>
      <c r="D56" s="20">
        <v>7643</v>
      </c>
      <c r="E56" s="20">
        <v>0</v>
      </c>
      <c r="F56" s="20">
        <v>7879</v>
      </c>
      <c r="G56" s="43">
        <v>8985</v>
      </c>
    </row>
    <row r="57" spans="1:7" x14ac:dyDescent="0.2">
      <c r="A57" s="42" t="s">
        <v>196</v>
      </c>
      <c r="B57" s="20">
        <v>8701</v>
      </c>
      <c r="C57" s="20">
        <v>261</v>
      </c>
      <c r="D57" s="20">
        <v>8440</v>
      </c>
      <c r="E57" s="20">
        <v>0</v>
      </c>
      <c r="F57" s="20">
        <v>8701</v>
      </c>
      <c r="G57" s="43">
        <v>9932</v>
      </c>
    </row>
    <row r="58" spans="1:7" x14ac:dyDescent="0.2">
      <c r="A58" s="42" t="s">
        <v>197</v>
      </c>
      <c r="B58" s="20">
        <v>6296</v>
      </c>
      <c r="C58" s="20">
        <v>189</v>
      </c>
      <c r="D58" s="20">
        <v>6107</v>
      </c>
      <c r="E58" s="20">
        <v>0</v>
      </c>
      <c r="F58" s="20">
        <v>6296</v>
      </c>
      <c r="G58" s="43">
        <v>7186</v>
      </c>
    </row>
    <row r="59" spans="1:7" x14ac:dyDescent="0.2">
      <c r="A59" s="42" t="s">
        <v>198</v>
      </c>
      <c r="B59" s="20">
        <v>4356</v>
      </c>
      <c r="C59" s="20">
        <v>121</v>
      </c>
      <c r="D59" s="20">
        <v>3923</v>
      </c>
      <c r="E59" s="20">
        <v>0</v>
      </c>
      <c r="F59" s="20">
        <v>4044</v>
      </c>
      <c r="G59" s="43">
        <v>4616</v>
      </c>
    </row>
    <row r="60" spans="1:7" x14ac:dyDescent="0.2">
      <c r="A60" s="42" t="s">
        <v>199</v>
      </c>
      <c r="B60" s="20">
        <v>41660</v>
      </c>
      <c r="C60" s="20">
        <v>628</v>
      </c>
      <c r="D60" s="20">
        <v>20305</v>
      </c>
      <c r="E60" s="20">
        <v>0</v>
      </c>
      <c r="F60" s="20">
        <v>20933</v>
      </c>
      <c r="G60" s="43">
        <v>23871</v>
      </c>
    </row>
    <row r="61" spans="1:7" x14ac:dyDescent="0.2">
      <c r="A61" s="42" t="s">
        <v>200</v>
      </c>
      <c r="B61" s="20">
        <v>0</v>
      </c>
      <c r="C61" s="20">
        <v>0</v>
      </c>
      <c r="D61" s="20">
        <v>0</v>
      </c>
      <c r="E61" s="20">
        <v>0</v>
      </c>
      <c r="F61" s="20">
        <v>0</v>
      </c>
      <c r="G61" s="43">
        <v>0</v>
      </c>
    </row>
    <row r="62" spans="1:7" x14ac:dyDescent="0.2">
      <c r="A62" s="42" t="s">
        <v>201</v>
      </c>
      <c r="B62" s="20">
        <v>9900</v>
      </c>
      <c r="C62" s="20">
        <v>152</v>
      </c>
      <c r="D62" s="20">
        <v>4899</v>
      </c>
      <c r="E62" s="20">
        <v>0</v>
      </c>
      <c r="F62" s="20">
        <v>5050</v>
      </c>
      <c r="G62" s="43">
        <v>5765</v>
      </c>
    </row>
    <row r="63" spans="1:7" x14ac:dyDescent="0.2">
      <c r="A63" s="42" t="s">
        <v>202</v>
      </c>
      <c r="B63" s="20">
        <v>17396</v>
      </c>
      <c r="C63" s="20">
        <v>983</v>
      </c>
      <c r="D63" s="20">
        <v>31794</v>
      </c>
      <c r="E63" s="20">
        <v>0</v>
      </c>
      <c r="F63" s="20">
        <v>32777</v>
      </c>
      <c r="G63" s="43">
        <v>37414</v>
      </c>
    </row>
    <row r="64" spans="1:7" x14ac:dyDescent="0.2">
      <c r="A64" s="42" t="s">
        <v>203</v>
      </c>
      <c r="B64" s="20">
        <v>0</v>
      </c>
      <c r="C64" s="20">
        <v>0</v>
      </c>
      <c r="D64" s="20">
        <v>0</v>
      </c>
      <c r="E64" s="20">
        <v>0</v>
      </c>
      <c r="F64" s="20">
        <v>0</v>
      </c>
      <c r="G64" s="43">
        <v>0</v>
      </c>
    </row>
    <row r="65" spans="1:7" ht="15" customHeight="1" x14ac:dyDescent="0.2">
      <c r="A65" s="44" t="s">
        <v>204</v>
      </c>
      <c r="B65" s="45">
        <v>1625912</v>
      </c>
      <c r="C65" s="45">
        <v>49129</v>
      </c>
      <c r="D65" s="45">
        <v>1588598</v>
      </c>
      <c r="E65" s="45">
        <v>0</v>
      </c>
      <c r="F65" s="45">
        <v>1637726</v>
      </c>
      <c r="G65" s="51">
        <v>1867680</v>
      </c>
    </row>
    <row r="66" spans="1:7" ht="15" customHeight="1" x14ac:dyDescent="0.2">
      <c r="A66" s="101" t="s">
        <v>205</v>
      </c>
      <c r="B66" s="101"/>
      <c r="C66" s="101"/>
      <c r="D66" s="101"/>
      <c r="E66" s="101"/>
      <c r="F66" s="101"/>
      <c r="G66" s="101"/>
    </row>
    <row r="67" spans="1:7" ht="28.5" customHeight="1" x14ac:dyDescent="0.2">
      <c r="A67" s="102" t="s">
        <v>568</v>
      </c>
      <c r="B67" s="103"/>
      <c r="C67" s="103"/>
      <c r="D67" s="103"/>
      <c r="E67" s="103"/>
      <c r="F67" s="103"/>
      <c r="G67" s="103"/>
    </row>
    <row r="68" spans="1:7" ht="29.25" customHeight="1" x14ac:dyDescent="0.2">
      <c r="A68" s="102" t="s">
        <v>569</v>
      </c>
      <c r="B68" s="103"/>
      <c r="C68" s="103"/>
      <c r="D68" s="103"/>
      <c r="E68" s="103"/>
      <c r="F68" s="103"/>
      <c r="G68" s="103"/>
    </row>
    <row r="69" spans="1:7" ht="17.25" customHeight="1" x14ac:dyDescent="0.2">
      <c r="A69" s="102" t="s">
        <v>570</v>
      </c>
      <c r="B69" s="103"/>
      <c r="C69" s="103"/>
      <c r="D69" s="103"/>
      <c r="E69" s="103"/>
      <c r="F69" s="103"/>
      <c r="G69" s="103"/>
    </row>
  </sheetData>
  <mergeCells count="8">
    <mergeCell ref="A68:G68"/>
    <mergeCell ref="A69:G69"/>
    <mergeCell ref="A4:A5"/>
    <mergeCell ref="B4:B5"/>
    <mergeCell ref="F4:F5"/>
    <mergeCell ref="G4:G5"/>
    <mergeCell ref="A66:G66"/>
    <mergeCell ref="A67:G67"/>
  </mergeCells>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pageSetUpPr fitToPage="1"/>
  </sheetPr>
  <dimension ref="A1:G71"/>
  <sheetViews>
    <sheetView workbookViewId="0"/>
  </sheetViews>
  <sheetFormatPr defaultRowHeight="12.75" x14ac:dyDescent="0.2"/>
  <cols>
    <col min="1" max="1" width="30.7109375" customWidth="1"/>
    <col min="2" max="7" width="11.7109375" customWidth="1"/>
  </cols>
  <sheetData>
    <row r="1" spans="1:7" ht="38.25" customHeight="1" x14ac:dyDescent="0.2">
      <c r="A1" s="15" t="s">
        <v>658</v>
      </c>
      <c r="B1" s="16"/>
      <c r="C1" s="16"/>
      <c r="D1" s="16"/>
      <c r="E1" s="16"/>
      <c r="F1" s="16"/>
      <c r="G1" s="55" t="s">
        <v>256</v>
      </c>
    </row>
    <row r="2" spans="1:7" x14ac:dyDescent="0.2">
      <c r="A2" s="17" t="s">
        <v>364</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24583</v>
      </c>
      <c r="C6" s="20">
        <v>711</v>
      </c>
      <c r="D6" s="20">
        <v>23003</v>
      </c>
      <c r="E6" s="20">
        <v>0</v>
      </c>
      <c r="F6" s="20">
        <v>23714</v>
      </c>
      <c r="G6" s="43">
        <v>28356</v>
      </c>
    </row>
    <row r="7" spans="1:7" x14ac:dyDescent="0.2">
      <c r="A7" s="42" t="s">
        <v>146</v>
      </c>
      <c r="B7" s="20">
        <v>11011</v>
      </c>
      <c r="C7" s="20">
        <v>330</v>
      </c>
      <c r="D7" s="20">
        <v>10671</v>
      </c>
      <c r="E7" s="20">
        <v>0</v>
      </c>
      <c r="F7" s="20">
        <v>11001</v>
      </c>
      <c r="G7" s="43">
        <v>13154</v>
      </c>
    </row>
    <row r="8" spans="1:7" x14ac:dyDescent="0.2">
      <c r="A8" s="42" t="s">
        <v>147</v>
      </c>
      <c r="B8" s="20">
        <v>24901</v>
      </c>
      <c r="C8" s="20">
        <v>594</v>
      </c>
      <c r="D8" s="20">
        <v>19190</v>
      </c>
      <c r="E8" s="20">
        <v>0</v>
      </c>
      <c r="F8" s="20">
        <v>19784</v>
      </c>
      <c r="G8" s="43">
        <v>23657</v>
      </c>
    </row>
    <row r="9" spans="1:7" x14ac:dyDescent="0.2">
      <c r="A9" s="42" t="s">
        <v>148</v>
      </c>
      <c r="B9" s="20">
        <v>16629</v>
      </c>
      <c r="C9" s="20">
        <v>497</v>
      </c>
      <c r="D9" s="20">
        <v>16054</v>
      </c>
      <c r="E9" s="20">
        <v>0</v>
      </c>
      <c r="F9" s="20">
        <v>16551</v>
      </c>
      <c r="G9" s="43">
        <v>19790</v>
      </c>
    </row>
    <row r="10" spans="1:7" x14ac:dyDescent="0.2">
      <c r="A10" s="42" t="s">
        <v>149</v>
      </c>
      <c r="B10" s="20">
        <v>141083</v>
      </c>
      <c r="C10" s="20">
        <v>2911</v>
      </c>
      <c r="D10" s="20">
        <v>94136</v>
      </c>
      <c r="E10" s="20">
        <v>0</v>
      </c>
      <c r="F10" s="20">
        <v>97047</v>
      </c>
      <c r="G10" s="43">
        <v>116041</v>
      </c>
    </row>
    <row r="11" spans="1:7" x14ac:dyDescent="0.2">
      <c r="A11" s="42" t="s">
        <v>150</v>
      </c>
      <c r="B11" s="20">
        <v>21755</v>
      </c>
      <c r="C11" s="20">
        <v>652</v>
      </c>
      <c r="D11" s="20">
        <v>21083</v>
      </c>
      <c r="E11" s="20">
        <v>0</v>
      </c>
      <c r="F11" s="20">
        <v>21735</v>
      </c>
      <c r="G11" s="43">
        <v>25990</v>
      </c>
    </row>
    <row r="12" spans="1:7" x14ac:dyDescent="0.2">
      <c r="A12" s="42" t="s">
        <v>151</v>
      </c>
      <c r="B12" s="20">
        <v>11011</v>
      </c>
      <c r="C12" s="20">
        <v>330</v>
      </c>
      <c r="D12" s="20">
        <v>10671</v>
      </c>
      <c r="E12" s="20">
        <v>0</v>
      </c>
      <c r="F12" s="20">
        <v>11001</v>
      </c>
      <c r="G12" s="43">
        <v>13154</v>
      </c>
    </row>
    <row r="13" spans="1:7" x14ac:dyDescent="0.2">
      <c r="A13" s="42" t="s">
        <v>152</v>
      </c>
      <c r="B13" s="20">
        <v>11186</v>
      </c>
      <c r="C13" s="20">
        <v>330</v>
      </c>
      <c r="D13" s="20">
        <v>10671</v>
      </c>
      <c r="E13" s="20">
        <v>0</v>
      </c>
      <c r="F13" s="20">
        <v>11001</v>
      </c>
      <c r="G13" s="43">
        <v>13154</v>
      </c>
    </row>
    <row r="14" spans="1:7" x14ac:dyDescent="0.2">
      <c r="A14" s="42" t="s">
        <v>153</v>
      </c>
      <c r="B14" s="20">
        <v>11011</v>
      </c>
      <c r="C14" s="20">
        <v>330</v>
      </c>
      <c r="D14" s="20">
        <v>10671</v>
      </c>
      <c r="E14" s="20">
        <v>0</v>
      </c>
      <c r="F14" s="20">
        <v>11001</v>
      </c>
      <c r="G14" s="43">
        <v>13154</v>
      </c>
    </row>
    <row r="15" spans="1:7" x14ac:dyDescent="0.2">
      <c r="A15" s="42" t="s">
        <v>154</v>
      </c>
      <c r="B15" s="20">
        <v>152670</v>
      </c>
      <c r="C15" s="20">
        <v>1299</v>
      </c>
      <c r="D15" s="20">
        <v>42005</v>
      </c>
      <c r="E15" s="20">
        <v>0</v>
      </c>
      <c r="F15" s="20">
        <v>43304</v>
      </c>
      <c r="G15" s="43">
        <v>51780</v>
      </c>
    </row>
    <row r="16" spans="1:7" x14ac:dyDescent="0.2">
      <c r="A16" s="42" t="s">
        <v>155</v>
      </c>
      <c r="B16" s="20">
        <v>59547</v>
      </c>
      <c r="C16" s="20">
        <v>778</v>
      </c>
      <c r="D16" s="20">
        <v>25146</v>
      </c>
      <c r="E16" s="20">
        <v>0</v>
      </c>
      <c r="F16" s="20">
        <v>25924</v>
      </c>
      <c r="G16" s="43">
        <v>30998</v>
      </c>
    </row>
    <row r="17" spans="1:7" x14ac:dyDescent="0.2">
      <c r="A17" s="42" t="s">
        <v>156</v>
      </c>
      <c r="B17" s="20">
        <v>11038</v>
      </c>
      <c r="C17" s="20">
        <v>330</v>
      </c>
      <c r="D17" s="20">
        <v>10671</v>
      </c>
      <c r="E17" s="20">
        <v>0</v>
      </c>
      <c r="F17" s="20">
        <v>11001</v>
      </c>
      <c r="G17" s="43">
        <v>13154</v>
      </c>
    </row>
    <row r="18" spans="1:7" x14ac:dyDescent="0.2">
      <c r="A18" s="42" t="s">
        <v>157</v>
      </c>
      <c r="B18" s="20">
        <v>11011</v>
      </c>
      <c r="C18" s="20">
        <v>330</v>
      </c>
      <c r="D18" s="20">
        <v>10671</v>
      </c>
      <c r="E18" s="20">
        <v>0</v>
      </c>
      <c r="F18" s="20">
        <v>11001</v>
      </c>
      <c r="G18" s="43">
        <v>13154</v>
      </c>
    </row>
    <row r="19" spans="1:7" x14ac:dyDescent="0.2">
      <c r="A19" s="42" t="s">
        <v>158</v>
      </c>
      <c r="B19" s="20">
        <v>41542</v>
      </c>
      <c r="C19" s="20">
        <v>1245</v>
      </c>
      <c r="D19" s="20">
        <v>40260</v>
      </c>
      <c r="E19" s="20">
        <v>0</v>
      </c>
      <c r="F19" s="20">
        <v>41505</v>
      </c>
      <c r="G19" s="43">
        <v>49629</v>
      </c>
    </row>
    <row r="20" spans="1:7" x14ac:dyDescent="0.2">
      <c r="A20" s="42" t="s">
        <v>159</v>
      </c>
      <c r="B20" s="20">
        <v>16830</v>
      </c>
      <c r="C20" s="20">
        <v>504</v>
      </c>
      <c r="D20" s="20">
        <v>16311</v>
      </c>
      <c r="E20" s="20">
        <v>0</v>
      </c>
      <c r="F20" s="20">
        <v>16815</v>
      </c>
      <c r="G20" s="43">
        <v>20106</v>
      </c>
    </row>
    <row r="21" spans="1:7" x14ac:dyDescent="0.2">
      <c r="A21" s="42" t="s">
        <v>160</v>
      </c>
      <c r="B21" s="20">
        <v>17378</v>
      </c>
      <c r="C21" s="20">
        <v>523</v>
      </c>
      <c r="D21" s="20">
        <v>16904</v>
      </c>
      <c r="E21" s="20">
        <v>0</v>
      </c>
      <c r="F21" s="20">
        <v>17427</v>
      </c>
      <c r="G21" s="43">
        <v>20839</v>
      </c>
    </row>
    <row r="22" spans="1:7" x14ac:dyDescent="0.2">
      <c r="A22" s="42" t="s">
        <v>161</v>
      </c>
      <c r="B22" s="20">
        <v>12775</v>
      </c>
      <c r="C22" s="20">
        <v>383</v>
      </c>
      <c r="D22" s="20">
        <v>12380</v>
      </c>
      <c r="E22" s="20">
        <v>0</v>
      </c>
      <c r="F22" s="20">
        <v>12763</v>
      </c>
      <c r="G22" s="43">
        <v>15261</v>
      </c>
    </row>
    <row r="23" spans="1:7" x14ac:dyDescent="0.2">
      <c r="A23" s="42" t="s">
        <v>162</v>
      </c>
      <c r="B23" s="20">
        <v>18144</v>
      </c>
      <c r="C23" s="20">
        <v>544</v>
      </c>
      <c r="D23" s="20">
        <v>17583</v>
      </c>
      <c r="E23" s="20">
        <v>0</v>
      </c>
      <c r="F23" s="20">
        <v>18127</v>
      </c>
      <c r="G23" s="43">
        <v>21675</v>
      </c>
    </row>
    <row r="24" spans="1:7" x14ac:dyDescent="0.2">
      <c r="A24" s="42" t="s">
        <v>163</v>
      </c>
      <c r="B24" s="20">
        <v>16480</v>
      </c>
      <c r="C24" s="20">
        <v>494</v>
      </c>
      <c r="D24" s="20">
        <v>15971</v>
      </c>
      <c r="E24" s="20">
        <v>0</v>
      </c>
      <c r="F24" s="20">
        <v>16465</v>
      </c>
      <c r="G24" s="43">
        <v>19688</v>
      </c>
    </row>
    <row r="25" spans="1:7" x14ac:dyDescent="0.2">
      <c r="A25" s="42" t="s">
        <v>164</v>
      </c>
      <c r="B25" s="20">
        <v>11011</v>
      </c>
      <c r="C25" s="20">
        <v>330</v>
      </c>
      <c r="D25" s="20">
        <v>10671</v>
      </c>
      <c r="E25" s="20">
        <v>0</v>
      </c>
      <c r="F25" s="20">
        <v>11001</v>
      </c>
      <c r="G25" s="43">
        <v>13154</v>
      </c>
    </row>
    <row r="26" spans="1:7" x14ac:dyDescent="0.2">
      <c r="A26" s="42" t="s">
        <v>165</v>
      </c>
      <c r="B26" s="20">
        <v>20170</v>
      </c>
      <c r="C26" s="20">
        <v>605</v>
      </c>
      <c r="D26" s="20">
        <v>19547</v>
      </c>
      <c r="E26" s="20">
        <v>0</v>
      </c>
      <c r="F26" s="20">
        <v>20152</v>
      </c>
      <c r="G26" s="43">
        <v>24096</v>
      </c>
    </row>
    <row r="27" spans="1:7" x14ac:dyDescent="0.2">
      <c r="A27" s="42" t="s">
        <v>166</v>
      </c>
      <c r="B27" s="20">
        <v>25549</v>
      </c>
      <c r="C27" s="20">
        <v>766</v>
      </c>
      <c r="D27" s="20">
        <v>24760</v>
      </c>
      <c r="E27" s="20">
        <v>0</v>
      </c>
      <c r="F27" s="20">
        <v>25526</v>
      </c>
      <c r="G27" s="43">
        <v>30522</v>
      </c>
    </row>
    <row r="28" spans="1:7" x14ac:dyDescent="0.2">
      <c r="A28" s="42" t="s">
        <v>167</v>
      </c>
      <c r="B28" s="20">
        <v>27123</v>
      </c>
      <c r="C28" s="20">
        <v>810</v>
      </c>
      <c r="D28" s="20">
        <v>26194</v>
      </c>
      <c r="E28" s="20">
        <v>0</v>
      </c>
      <c r="F28" s="20">
        <v>27004</v>
      </c>
      <c r="G28" s="43">
        <v>32290</v>
      </c>
    </row>
    <row r="29" spans="1:7" x14ac:dyDescent="0.2">
      <c r="A29" s="42" t="s">
        <v>168</v>
      </c>
      <c r="B29" s="20">
        <v>16878</v>
      </c>
      <c r="C29" s="20">
        <v>504</v>
      </c>
      <c r="D29" s="20">
        <v>16288</v>
      </c>
      <c r="E29" s="20">
        <v>0</v>
      </c>
      <c r="F29" s="20">
        <v>16792</v>
      </c>
      <c r="G29" s="43">
        <v>20079</v>
      </c>
    </row>
    <row r="30" spans="1:7" x14ac:dyDescent="0.2">
      <c r="A30" s="42" t="s">
        <v>169</v>
      </c>
      <c r="B30" s="20">
        <v>11853</v>
      </c>
      <c r="C30" s="20">
        <v>355</v>
      </c>
      <c r="D30" s="20">
        <v>11487</v>
      </c>
      <c r="E30" s="20">
        <v>0</v>
      </c>
      <c r="F30" s="20">
        <v>11842</v>
      </c>
      <c r="G30" s="43">
        <v>14160</v>
      </c>
    </row>
    <row r="31" spans="1:7" x14ac:dyDescent="0.2">
      <c r="A31" s="42" t="s">
        <v>170</v>
      </c>
      <c r="B31" s="20">
        <v>19411</v>
      </c>
      <c r="C31" s="20">
        <v>582</v>
      </c>
      <c r="D31" s="20">
        <v>18812</v>
      </c>
      <c r="E31" s="20">
        <v>0</v>
      </c>
      <c r="F31" s="20">
        <v>19394</v>
      </c>
      <c r="G31" s="43">
        <v>23190</v>
      </c>
    </row>
    <row r="32" spans="1:7" x14ac:dyDescent="0.2">
      <c r="A32" s="42" t="s">
        <v>171</v>
      </c>
      <c r="B32" s="20">
        <v>11011</v>
      </c>
      <c r="C32" s="20">
        <v>330</v>
      </c>
      <c r="D32" s="20">
        <v>10671</v>
      </c>
      <c r="E32" s="20">
        <v>0</v>
      </c>
      <c r="F32" s="20">
        <v>11001</v>
      </c>
      <c r="G32" s="43">
        <v>13154</v>
      </c>
    </row>
    <row r="33" spans="1:7" x14ac:dyDescent="0.2">
      <c r="A33" s="42" t="s">
        <v>172</v>
      </c>
      <c r="B33" s="20">
        <v>11011</v>
      </c>
      <c r="C33" s="20">
        <v>330</v>
      </c>
      <c r="D33" s="20">
        <v>10671</v>
      </c>
      <c r="E33" s="20">
        <v>0</v>
      </c>
      <c r="F33" s="20">
        <v>11001</v>
      </c>
      <c r="G33" s="43">
        <v>13154</v>
      </c>
    </row>
    <row r="34" spans="1:7" x14ac:dyDescent="0.2">
      <c r="A34" s="42" t="s">
        <v>173</v>
      </c>
      <c r="B34" s="20">
        <v>12764</v>
      </c>
      <c r="C34" s="20">
        <v>383</v>
      </c>
      <c r="D34" s="20">
        <v>12369</v>
      </c>
      <c r="E34" s="20">
        <v>0</v>
      </c>
      <c r="F34" s="20">
        <v>12752</v>
      </c>
      <c r="G34" s="43">
        <v>15248</v>
      </c>
    </row>
    <row r="35" spans="1:7" x14ac:dyDescent="0.2">
      <c r="A35" s="42" t="s">
        <v>174</v>
      </c>
      <c r="B35" s="20">
        <v>11011</v>
      </c>
      <c r="C35" s="20">
        <v>330</v>
      </c>
      <c r="D35" s="20">
        <v>10671</v>
      </c>
      <c r="E35" s="20">
        <v>0</v>
      </c>
      <c r="F35" s="20">
        <v>11001</v>
      </c>
      <c r="G35" s="43">
        <v>13154</v>
      </c>
    </row>
    <row r="36" spans="1:7" x14ac:dyDescent="0.2">
      <c r="A36" s="42" t="s">
        <v>175</v>
      </c>
      <c r="B36" s="20">
        <v>18680</v>
      </c>
      <c r="C36" s="20">
        <v>563</v>
      </c>
      <c r="D36" s="20">
        <v>18212</v>
      </c>
      <c r="E36" s="20">
        <v>0</v>
      </c>
      <c r="F36" s="20">
        <v>18775</v>
      </c>
      <c r="G36" s="43">
        <v>22450</v>
      </c>
    </row>
    <row r="37" spans="1:7" x14ac:dyDescent="0.2">
      <c r="A37" s="42" t="s">
        <v>176</v>
      </c>
      <c r="B37" s="20">
        <v>12689</v>
      </c>
      <c r="C37" s="20">
        <v>330</v>
      </c>
      <c r="D37" s="20">
        <v>10671</v>
      </c>
      <c r="E37" s="20">
        <v>0</v>
      </c>
      <c r="F37" s="20">
        <v>11001</v>
      </c>
      <c r="G37" s="43">
        <v>13154</v>
      </c>
    </row>
    <row r="38" spans="1:7" x14ac:dyDescent="0.2">
      <c r="A38" s="42" t="s">
        <v>177</v>
      </c>
      <c r="B38" s="20">
        <v>44967</v>
      </c>
      <c r="C38" s="20">
        <v>1348</v>
      </c>
      <c r="D38" s="20">
        <v>43578</v>
      </c>
      <c r="E38" s="20">
        <v>0</v>
      </c>
      <c r="F38" s="20">
        <v>44926</v>
      </c>
      <c r="G38" s="43">
        <v>53720</v>
      </c>
    </row>
    <row r="39" spans="1:7" x14ac:dyDescent="0.2">
      <c r="A39" s="42" t="s">
        <v>178</v>
      </c>
      <c r="B39" s="20">
        <v>102404</v>
      </c>
      <c r="C39" s="20">
        <v>1013</v>
      </c>
      <c r="D39" s="20">
        <v>32769</v>
      </c>
      <c r="E39" s="20">
        <v>0</v>
      </c>
      <c r="F39" s="20">
        <v>33782</v>
      </c>
      <c r="G39" s="43">
        <v>40395</v>
      </c>
    </row>
    <row r="40" spans="1:7" x14ac:dyDescent="0.2">
      <c r="A40" s="42" t="s">
        <v>179</v>
      </c>
      <c r="B40" s="20">
        <v>11011</v>
      </c>
      <c r="C40" s="20">
        <v>330</v>
      </c>
      <c r="D40" s="20">
        <v>10671</v>
      </c>
      <c r="E40" s="20">
        <v>0</v>
      </c>
      <c r="F40" s="20">
        <v>11001</v>
      </c>
      <c r="G40" s="43">
        <v>13154</v>
      </c>
    </row>
    <row r="41" spans="1:7" x14ac:dyDescent="0.2">
      <c r="A41" s="42" t="s">
        <v>180</v>
      </c>
      <c r="B41" s="20">
        <v>27692</v>
      </c>
      <c r="C41" s="20">
        <v>830</v>
      </c>
      <c r="D41" s="20">
        <v>26836</v>
      </c>
      <c r="E41" s="20">
        <v>0</v>
      </c>
      <c r="F41" s="20">
        <v>27666</v>
      </c>
      <c r="G41" s="43">
        <v>33082</v>
      </c>
    </row>
    <row r="42" spans="1:7" x14ac:dyDescent="0.2">
      <c r="A42" s="42" t="s">
        <v>181</v>
      </c>
      <c r="B42" s="20">
        <v>31890</v>
      </c>
      <c r="C42" s="20">
        <v>468</v>
      </c>
      <c r="D42" s="20">
        <v>15128</v>
      </c>
      <c r="E42" s="20">
        <v>0</v>
      </c>
      <c r="F42" s="20">
        <v>15596</v>
      </c>
      <c r="G42" s="43">
        <v>18648</v>
      </c>
    </row>
    <row r="43" spans="1:7" x14ac:dyDescent="0.2">
      <c r="A43" s="42" t="s">
        <v>182</v>
      </c>
      <c r="B43" s="20">
        <v>14487</v>
      </c>
      <c r="C43" s="20">
        <v>434</v>
      </c>
      <c r="D43" s="20">
        <v>14040</v>
      </c>
      <c r="E43" s="20">
        <v>0</v>
      </c>
      <c r="F43" s="20">
        <v>14474</v>
      </c>
      <c r="G43" s="43">
        <v>17306</v>
      </c>
    </row>
    <row r="44" spans="1:7" x14ac:dyDescent="0.2">
      <c r="A44" s="42" t="s">
        <v>183</v>
      </c>
      <c r="B44" s="20">
        <v>33888</v>
      </c>
      <c r="C44" s="20">
        <v>1016</v>
      </c>
      <c r="D44" s="20">
        <v>32857</v>
      </c>
      <c r="E44" s="20">
        <v>0</v>
      </c>
      <c r="F44" s="20">
        <v>33873</v>
      </c>
      <c r="G44" s="43">
        <v>40503</v>
      </c>
    </row>
    <row r="45" spans="1:7" x14ac:dyDescent="0.2">
      <c r="A45" s="42" t="s">
        <v>184</v>
      </c>
      <c r="B45" s="20">
        <v>11011</v>
      </c>
      <c r="C45" s="20">
        <v>330</v>
      </c>
      <c r="D45" s="20">
        <v>10671</v>
      </c>
      <c r="E45" s="20">
        <v>0</v>
      </c>
      <c r="F45" s="20">
        <v>11001</v>
      </c>
      <c r="G45" s="43">
        <v>13154</v>
      </c>
    </row>
    <row r="46" spans="1:7" x14ac:dyDescent="0.2">
      <c r="A46" s="42" t="s">
        <v>185</v>
      </c>
      <c r="B46" s="20">
        <v>18919</v>
      </c>
      <c r="C46" s="20">
        <v>427</v>
      </c>
      <c r="D46" s="20">
        <v>13820</v>
      </c>
      <c r="E46" s="20">
        <v>0</v>
      </c>
      <c r="F46" s="20">
        <v>14247</v>
      </c>
      <c r="G46" s="43">
        <v>17035</v>
      </c>
    </row>
    <row r="47" spans="1:7" x14ac:dyDescent="0.2">
      <c r="A47" s="42" t="s">
        <v>186</v>
      </c>
      <c r="B47" s="20">
        <v>11011</v>
      </c>
      <c r="C47" s="20">
        <v>330</v>
      </c>
      <c r="D47" s="20">
        <v>10671</v>
      </c>
      <c r="E47" s="20">
        <v>0</v>
      </c>
      <c r="F47" s="20">
        <v>11001</v>
      </c>
      <c r="G47" s="43">
        <v>13154</v>
      </c>
    </row>
    <row r="48" spans="1:7" x14ac:dyDescent="0.2">
      <c r="A48" s="42" t="s">
        <v>187</v>
      </c>
      <c r="B48" s="20">
        <v>19125</v>
      </c>
      <c r="C48" s="20">
        <v>573</v>
      </c>
      <c r="D48" s="20">
        <v>18535</v>
      </c>
      <c r="E48" s="20">
        <v>0</v>
      </c>
      <c r="F48" s="20">
        <v>19108</v>
      </c>
      <c r="G48" s="43">
        <v>22848</v>
      </c>
    </row>
    <row r="49" spans="1:7" x14ac:dyDescent="0.2">
      <c r="A49" s="42" t="s">
        <v>188</v>
      </c>
      <c r="B49" s="20">
        <v>0</v>
      </c>
      <c r="C49" s="20">
        <v>2586</v>
      </c>
      <c r="D49" s="20">
        <v>83616</v>
      </c>
      <c r="E49" s="20">
        <v>0</v>
      </c>
      <c r="F49" s="20">
        <v>86202</v>
      </c>
      <c r="G49" s="43">
        <v>103074</v>
      </c>
    </row>
    <row r="50" spans="1:7" x14ac:dyDescent="0.2">
      <c r="A50" s="42" t="s">
        <v>189</v>
      </c>
      <c r="B50" s="20">
        <v>11011</v>
      </c>
      <c r="C50" s="20">
        <v>330</v>
      </c>
      <c r="D50" s="20">
        <v>10671</v>
      </c>
      <c r="E50" s="20">
        <v>0</v>
      </c>
      <c r="F50" s="20">
        <v>11001</v>
      </c>
      <c r="G50" s="43">
        <v>13154</v>
      </c>
    </row>
    <row r="51" spans="1:7" x14ac:dyDescent="0.2">
      <c r="A51" s="42" t="s">
        <v>190</v>
      </c>
      <c r="B51" s="20">
        <v>11011</v>
      </c>
      <c r="C51" s="20">
        <v>330</v>
      </c>
      <c r="D51" s="20">
        <v>10671</v>
      </c>
      <c r="E51" s="20">
        <v>0</v>
      </c>
      <c r="F51" s="20">
        <v>11001</v>
      </c>
      <c r="G51" s="43">
        <v>13154</v>
      </c>
    </row>
    <row r="52" spans="1:7" x14ac:dyDescent="0.2">
      <c r="A52" s="42" t="s">
        <v>191</v>
      </c>
      <c r="B52" s="20">
        <v>17965</v>
      </c>
      <c r="C52" s="20">
        <v>538</v>
      </c>
      <c r="D52" s="20">
        <v>17411</v>
      </c>
      <c r="E52" s="20">
        <v>0</v>
      </c>
      <c r="F52" s="20">
        <v>17949</v>
      </c>
      <c r="G52" s="43">
        <v>21462</v>
      </c>
    </row>
    <row r="53" spans="1:7" x14ac:dyDescent="0.2">
      <c r="A53" s="42" t="s">
        <v>192</v>
      </c>
      <c r="B53" s="20">
        <v>24598</v>
      </c>
      <c r="C53" s="20">
        <v>737</v>
      </c>
      <c r="D53" s="20">
        <v>23839</v>
      </c>
      <c r="E53" s="20">
        <v>0</v>
      </c>
      <c r="F53" s="20">
        <v>24576</v>
      </c>
      <c r="G53" s="43">
        <v>29386</v>
      </c>
    </row>
    <row r="54" spans="1:7" x14ac:dyDescent="0.2">
      <c r="A54" s="42" t="s">
        <v>193</v>
      </c>
      <c r="B54" s="20">
        <v>11011</v>
      </c>
      <c r="C54" s="20">
        <v>330</v>
      </c>
      <c r="D54" s="20">
        <v>10671</v>
      </c>
      <c r="E54" s="20">
        <v>0</v>
      </c>
      <c r="F54" s="20">
        <v>11001</v>
      </c>
      <c r="G54" s="43">
        <v>13154</v>
      </c>
    </row>
    <row r="55" spans="1:7" x14ac:dyDescent="0.2">
      <c r="A55" s="42" t="s">
        <v>194</v>
      </c>
      <c r="B55" s="20">
        <v>18766</v>
      </c>
      <c r="C55" s="20">
        <v>562</v>
      </c>
      <c r="D55" s="20">
        <v>18187</v>
      </c>
      <c r="E55" s="20">
        <v>0</v>
      </c>
      <c r="F55" s="20">
        <v>18749</v>
      </c>
      <c r="G55" s="43">
        <v>22419</v>
      </c>
    </row>
    <row r="56" spans="1:7" x14ac:dyDescent="0.2">
      <c r="A56" s="42" t="s">
        <v>195</v>
      </c>
      <c r="B56" s="20">
        <v>0</v>
      </c>
      <c r="C56" s="20">
        <v>330</v>
      </c>
      <c r="D56" s="20">
        <v>10671</v>
      </c>
      <c r="E56" s="20">
        <v>0</v>
      </c>
      <c r="F56" s="20">
        <v>11001</v>
      </c>
      <c r="G56" s="43">
        <v>13154</v>
      </c>
    </row>
    <row r="57" spans="1:7" x14ac:dyDescent="0.2">
      <c r="A57" s="42" t="s">
        <v>196</v>
      </c>
      <c r="B57" s="20">
        <v>8285</v>
      </c>
      <c r="C57" s="20">
        <v>124</v>
      </c>
      <c r="D57" s="20">
        <v>4020</v>
      </c>
      <c r="E57" s="20">
        <v>0</v>
      </c>
      <c r="F57" s="20">
        <v>4144</v>
      </c>
      <c r="G57" s="43">
        <v>4955</v>
      </c>
    </row>
    <row r="58" spans="1:7" x14ac:dyDescent="0.2">
      <c r="A58" s="42" t="s">
        <v>197</v>
      </c>
      <c r="B58" s="20">
        <v>3856</v>
      </c>
      <c r="C58" s="20">
        <v>116</v>
      </c>
      <c r="D58" s="20">
        <v>3736</v>
      </c>
      <c r="E58" s="20">
        <v>0</v>
      </c>
      <c r="F58" s="20">
        <v>3852</v>
      </c>
      <c r="G58" s="43">
        <v>4607</v>
      </c>
    </row>
    <row r="59" spans="1:7" x14ac:dyDescent="0.2">
      <c r="A59" s="42" t="s">
        <v>198</v>
      </c>
      <c r="B59" s="20">
        <v>12335</v>
      </c>
      <c r="C59" s="20">
        <v>97</v>
      </c>
      <c r="D59" s="20">
        <v>3147</v>
      </c>
      <c r="E59" s="20">
        <v>0</v>
      </c>
      <c r="F59" s="20">
        <v>3244</v>
      </c>
      <c r="G59" s="43">
        <v>3879</v>
      </c>
    </row>
    <row r="60" spans="1:7" x14ac:dyDescent="0.2">
      <c r="A60" s="42" t="s">
        <v>199</v>
      </c>
      <c r="B60" s="20">
        <v>11004</v>
      </c>
      <c r="C60" s="20">
        <v>330</v>
      </c>
      <c r="D60" s="20">
        <v>10671</v>
      </c>
      <c r="E60" s="20">
        <v>0</v>
      </c>
      <c r="F60" s="20">
        <v>11001</v>
      </c>
      <c r="G60" s="43">
        <v>13154</v>
      </c>
    </row>
    <row r="61" spans="1:7" x14ac:dyDescent="0.2">
      <c r="A61" s="42" t="s">
        <v>200</v>
      </c>
      <c r="B61" s="20">
        <v>0</v>
      </c>
      <c r="C61" s="20">
        <v>0</v>
      </c>
      <c r="D61" s="20">
        <v>0</v>
      </c>
      <c r="E61" s="20">
        <v>0</v>
      </c>
      <c r="F61" s="20">
        <v>0</v>
      </c>
      <c r="G61" s="43">
        <v>0</v>
      </c>
    </row>
    <row r="62" spans="1:7" x14ac:dyDescent="0.2">
      <c r="A62" s="42" t="s">
        <v>201</v>
      </c>
      <c r="B62" s="20">
        <v>5262</v>
      </c>
      <c r="C62" s="20">
        <v>158</v>
      </c>
      <c r="D62" s="20">
        <v>5103</v>
      </c>
      <c r="E62" s="20">
        <v>0</v>
      </c>
      <c r="F62" s="20">
        <v>5261</v>
      </c>
      <c r="G62" s="43">
        <v>6290</v>
      </c>
    </row>
    <row r="63" spans="1:7" x14ac:dyDescent="0.2">
      <c r="A63" s="42" t="s">
        <v>202</v>
      </c>
      <c r="B63" s="20">
        <v>12550</v>
      </c>
      <c r="C63" s="20">
        <v>676</v>
      </c>
      <c r="D63" s="20">
        <v>21846</v>
      </c>
      <c r="E63" s="20">
        <v>0</v>
      </c>
      <c r="F63" s="20">
        <v>22522</v>
      </c>
      <c r="G63" s="43">
        <v>27159</v>
      </c>
    </row>
    <row r="64" spans="1:7" x14ac:dyDescent="0.2">
      <c r="A64" s="42" t="s">
        <v>203</v>
      </c>
      <c r="B64" s="20">
        <v>0</v>
      </c>
      <c r="C64" s="20">
        <v>0</v>
      </c>
      <c r="D64" s="20">
        <v>0</v>
      </c>
      <c r="E64" s="20">
        <v>0</v>
      </c>
      <c r="F64" s="20">
        <v>0</v>
      </c>
      <c r="G64" s="43">
        <v>0</v>
      </c>
    </row>
    <row r="65" spans="1:7" ht="15" customHeight="1" x14ac:dyDescent="0.2">
      <c r="A65" s="44" t="s">
        <v>204</v>
      </c>
      <c r="B65" s="45">
        <v>1313805</v>
      </c>
      <c r="C65" s="45">
        <v>33676</v>
      </c>
      <c r="D65" s="45">
        <v>1088912</v>
      </c>
      <c r="E65" s="45">
        <v>0</v>
      </c>
      <c r="F65" s="45">
        <v>1122588</v>
      </c>
      <c r="G65" s="51">
        <v>1342539</v>
      </c>
    </row>
    <row r="66" spans="1:7" ht="15" customHeight="1" x14ac:dyDescent="0.2">
      <c r="A66" s="101" t="s">
        <v>205</v>
      </c>
      <c r="B66" s="101"/>
      <c r="C66" s="101"/>
      <c r="D66" s="101"/>
      <c r="E66" s="101"/>
      <c r="F66" s="101"/>
      <c r="G66" s="101"/>
    </row>
    <row r="67" spans="1:7" ht="28.5" customHeight="1" x14ac:dyDescent="0.2">
      <c r="A67" s="102" t="s">
        <v>569</v>
      </c>
      <c r="B67" s="103"/>
      <c r="C67" s="103"/>
      <c r="D67" s="103"/>
      <c r="E67" s="103"/>
      <c r="F67" s="103"/>
      <c r="G67" s="103"/>
    </row>
    <row r="68" spans="1:7" ht="67.5" customHeight="1" x14ac:dyDescent="0.2">
      <c r="A68" s="102" t="s">
        <v>571</v>
      </c>
      <c r="B68" s="103"/>
      <c r="C68" s="103"/>
      <c r="D68" s="103"/>
      <c r="E68" s="103"/>
      <c r="F68" s="103"/>
      <c r="G68" s="103"/>
    </row>
    <row r="69" spans="1:7" ht="27.75" customHeight="1" x14ac:dyDescent="0.2">
      <c r="A69" s="102" t="s">
        <v>568</v>
      </c>
      <c r="B69" s="103"/>
      <c r="C69" s="103"/>
      <c r="D69" s="103"/>
      <c r="E69" s="103"/>
      <c r="F69" s="103"/>
      <c r="G69" s="103"/>
    </row>
    <row r="70" spans="1:7" ht="30" customHeight="1" x14ac:dyDescent="0.2">
      <c r="A70" s="102" t="s">
        <v>572</v>
      </c>
      <c r="B70" s="103"/>
      <c r="C70" s="103"/>
      <c r="D70" s="103"/>
      <c r="E70" s="103"/>
      <c r="F70" s="103"/>
      <c r="G70" s="103"/>
    </row>
    <row r="71" spans="1:7" ht="15" customHeight="1" x14ac:dyDescent="0.2">
      <c r="A71" s="102" t="s">
        <v>570</v>
      </c>
      <c r="B71" s="103"/>
      <c r="C71" s="103"/>
      <c r="D71" s="103"/>
      <c r="E71" s="103"/>
      <c r="F71" s="103"/>
      <c r="G71" s="103"/>
    </row>
  </sheetData>
  <mergeCells count="10">
    <mergeCell ref="A68:G68"/>
    <mergeCell ref="A69:G69"/>
    <mergeCell ref="A70:G70"/>
    <mergeCell ref="A71:G71"/>
    <mergeCell ref="A4:A5"/>
    <mergeCell ref="B4:B5"/>
    <mergeCell ref="F4:F5"/>
    <mergeCell ref="G4:G5"/>
    <mergeCell ref="A66:G66"/>
    <mergeCell ref="A67:G67"/>
  </mergeCells>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pageSetUpPr fitToPage="1"/>
  </sheetPr>
  <dimension ref="A1:G75"/>
  <sheetViews>
    <sheetView workbookViewId="0"/>
  </sheetViews>
  <sheetFormatPr defaultRowHeight="12.75" x14ac:dyDescent="0.2"/>
  <cols>
    <col min="1" max="1" width="30.7109375" customWidth="1"/>
    <col min="2" max="7" width="11.7109375" customWidth="1"/>
  </cols>
  <sheetData>
    <row r="1" spans="1:7" ht="38.25" customHeight="1" x14ac:dyDescent="0.2">
      <c r="A1" s="15" t="s">
        <v>130</v>
      </c>
      <c r="B1" s="16"/>
      <c r="C1" s="16"/>
      <c r="D1" s="16"/>
      <c r="E1" s="16"/>
      <c r="F1" s="16"/>
      <c r="G1" s="15" t="s">
        <v>257</v>
      </c>
    </row>
    <row r="2" spans="1:7" x14ac:dyDescent="0.2">
      <c r="A2" s="17" t="s">
        <v>365</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61568</v>
      </c>
      <c r="C6" s="20">
        <v>0</v>
      </c>
      <c r="D6" s="20">
        <v>61568</v>
      </c>
      <c r="E6" s="20">
        <v>0</v>
      </c>
      <c r="F6" s="20">
        <v>61568</v>
      </c>
      <c r="G6" s="43">
        <v>61568</v>
      </c>
    </row>
    <row r="7" spans="1:7" x14ac:dyDescent="0.2">
      <c r="A7" s="42" t="s">
        <v>146</v>
      </c>
      <c r="B7" s="20">
        <v>105991</v>
      </c>
      <c r="C7" s="20">
        <v>0</v>
      </c>
      <c r="D7" s="20">
        <v>105991</v>
      </c>
      <c r="E7" s="20">
        <v>0</v>
      </c>
      <c r="F7" s="20">
        <v>105991</v>
      </c>
      <c r="G7" s="43">
        <v>105991</v>
      </c>
    </row>
    <row r="8" spans="1:7" x14ac:dyDescent="0.2">
      <c r="A8" s="42" t="s">
        <v>147</v>
      </c>
      <c r="B8" s="20">
        <v>67057</v>
      </c>
      <c r="C8" s="20">
        <v>0</v>
      </c>
      <c r="D8" s="20">
        <v>67057</v>
      </c>
      <c r="E8" s="20">
        <v>0</v>
      </c>
      <c r="F8" s="20">
        <v>67057</v>
      </c>
      <c r="G8" s="43">
        <v>67057</v>
      </c>
    </row>
    <row r="9" spans="1:7" x14ac:dyDescent="0.2">
      <c r="A9" s="42" t="s">
        <v>148</v>
      </c>
      <c r="B9" s="20">
        <v>31132</v>
      </c>
      <c r="C9" s="20">
        <v>0</v>
      </c>
      <c r="D9" s="20">
        <v>31132</v>
      </c>
      <c r="E9" s="20">
        <v>0</v>
      </c>
      <c r="F9" s="20">
        <v>31132</v>
      </c>
      <c r="G9" s="43">
        <v>31132</v>
      </c>
    </row>
    <row r="10" spans="1:7" x14ac:dyDescent="0.2">
      <c r="A10" s="42" t="s">
        <v>149</v>
      </c>
      <c r="B10" s="20">
        <v>278371</v>
      </c>
      <c r="C10" s="20">
        <v>0</v>
      </c>
      <c r="D10" s="20">
        <v>278371</v>
      </c>
      <c r="E10" s="20">
        <v>0</v>
      </c>
      <c r="F10" s="20">
        <v>278371</v>
      </c>
      <c r="G10" s="43">
        <v>278371</v>
      </c>
    </row>
    <row r="11" spans="1:7" x14ac:dyDescent="0.2">
      <c r="A11" s="42" t="s">
        <v>150</v>
      </c>
      <c r="B11" s="20">
        <v>21795</v>
      </c>
      <c r="C11" s="20">
        <v>0</v>
      </c>
      <c r="D11" s="20">
        <v>21795</v>
      </c>
      <c r="E11" s="20">
        <v>0</v>
      </c>
      <c r="F11" s="20">
        <v>21795</v>
      </c>
      <c r="G11" s="43">
        <v>21795</v>
      </c>
    </row>
    <row r="12" spans="1:7" x14ac:dyDescent="0.2">
      <c r="A12" s="42" t="s">
        <v>151</v>
      </c>
      <c r="B12" s="20">
        <v>15884</v>
      </c>
      <c r="C12" s="20">
        <v>0</v>
      </c>
      <c r="D12" s="20">
        <v>15884</v>
      </c>
      <c r="E12" s="20">
        <v>0</v>
      </c>
      <c r="F12" s="20">
        <v>15884</v>
      </c>
      <c r="G12" s="43">
        <v>15884</v>
      </c>
    </row>
    <row r="13" spans="1:7" x14ac:dyDescent="0.2">
      <c r="A13" s="42" t="s">
        <v>152</v>
      </c>
      <c r="B13" s="20">
        <v>1205</v>
      </c>
      <c r="C13" s="20">
        <v>0</v>
      </c>
      <c r="D13" s="20">
        <v>1205</v>
      </c>
      <c r="E13" s="20">
        <v>0</v>
      </c>
      <c r="F13" s="20">
        <v>1205</v>
      </c>
      <c r="G13" s="43">
        <v>1205</v>
      </c>
    </row>
    <row r="14" spans="1:7" x14ac:dyDescent="0.2">
      <c r="A14" s="42" t="s">
        <v>153</v>
      </c>
      <c r="B14" s="20">
        <v>7363</v>
      </c>
      <c r="C14" s="20">
        <v>0</v>
      </c>
      <c r="D14" s="20">
        <v>7363</v>
      </c>
      <c r="E14" s="20">
        <v>0</v>
      </c>
      <c r="F14" s="20">
        <v>7363</v>
      </c>
      <c r="G14" s="43">
        <v>7363</v>
      </c>
    </row>
    <row r="15" spans="1:7" x14ac:dyDescent="0.2">
      <c r="A15" s="42" t="s">
        <v>154</v>
      </c>
      <c r="B15" s="20">
        <v>83180</v>
      </c>
      <c r="C15" s="20">
        <v>0</v>
      </c>
      <c r="D15" s="20">
        <v>83180</v>
      </c>
      <c r="E15" s="20">
        <v>0</v>
      </c>
      <c r="F15" s="20">
        <v>83180</v>
      </c>
      <c r="G15" s="43">
        <v>83180</v>
      </c>
    </row>
    <row r="16" spans="1:7" x14ac:dyDescent="0.2">
      <c r="A16" s="42" t="s">
        <v>155</v>
      </c>
      <c r="B16" s="20">
        <v>52945</v>
      </c>
      <c r="C16" s="20">
        <v>0</v>
      </c>
      <c r="D16" s="20">
        <v>52945</v>
      </c>
      <c r="E16" s="20">
        <v>0</v>
      </c>
      <c r="F16" s="20">
        <v>52945</v>
      </c>
      <c r="G16" s="43">
        <v>52945</v>
      </c>
    </row>
    <row r="17" spans="1:7" x14ac:dyDescent="0.2">
      <c r="A17" s="42" t="s">
        <v>156</v>
      </c>
      <c r="B17" s="20">
        <v>8054</v>
      </c>
      <c r="C17" s="20">
        <v>0</v>
      </c>
      <c r="D17" s="20">
        <v>8054</v>
      </c>
      <c r="E17" s="20">
        <v>0</v>
      </c>
      <c r="F17" s="20">
        <v>8054</v>
      </c>
      <c r="G17" s="43">
        <v>8054</v>
      </c>
    </row>
    <row r="18" spans="1:7" x14ac:dyDescent="0.2">
      <c r="A18" s="42" t="s">
        <v>157</v>
      </c>
      <c r="B18" s="20">
        <v>10617</v>
      </c>
      <c r="C18" s="20">
        <v>0</v>
      </c>
      <c r="D18" s="20">
        <v>10617</v>
      </c>
      <c r="E18" s="20">
        <v>0</v>
      </c>
      <c r="F18" s="20">
        <v>10617</v>
      </c>
      <c r="G18" s="43">
        <v>10617</v>
      </c>
    </row>
    <row r="19" spans="1:7" x14ac:dyDescent="0.2">
      <c r="A19" s="42" t="s">
        <v>158</v>
      </c>
      <c r="B19" s="20">
        <v>94441</v>
      </c>
      <c r="C19" s="20">
        <v>0</v>
      </c>
      <c r="D19" s="20">
        <v>94441</v>
      </c>
      <c r="E19" s="20">
        <v>0</v>
      </c>
      <c r="F19" s="20">
        <v>94441</v>
      </c>
      <c r="G19" s="43">
        <v>94441</v>
      </c>
    </row>
    <row r="20" spans="1:7" x14ac:dyDescent="0.2">
      <c r="A20" s="42" t="s">
        <v>159</v>
      </c>
      <c r="B20" s="20">
        <v>42030</v>
      </c>
      <c r="C20" s="20">
        <v>0</v>
      </c>
      <c r="D20" s="20">
        <v>42030</v>
      </c>
      <c r="E20" s="20">
        <v>0</v>
      </c>
      <c r="F20" s="20">
        <v>42030</v>
      </c>
      <c r="G20" s="43">
        <v>42030</v>
      </c>
    </row>
    <row r="21" spans="1:7" x14ac:dyDescent="0.2">
      <c r="A21" s="42" t="s">
        <v>160</v>
      </c>
      <c r="B21" s="20">
        <v>14656</v>
      </c>
      <c r="C21" s="20">
        <v>0</v>
      </c>
      <c r="D21" s="20">
        <v>14656</v>
      </c>
      <c r="E21" s="20">
        <v>0</v>
      </c>
      <c r="F21" s="20">
        <v>14656</v>
      </c>
      <c r="G21" s="43">
        <v>14656</v>
      </c>
    </row>
    <row r="22" spans="1:7" x14ac:dyDescent="0.2">
      <c r="A22" s="42" t="s">
        <v>161</v>
      </c>
      <c r="B22" s="20">
        <v>22674</v>
      </c>
      <c r="C22" s="20">
        <v>0</v>
      </c>
      <c r="D22" s="20">
        <v>22674</v>
      </c>
      <c r="E22" s="20">
        <v>0</v>
      </c>
      <c r="F22" s="20">
        <v>22674</v>
      </c>
      <c r="G22" s="43">
        <v>22674</v>
      </c>
    </row>
    <row r="23" spans="1:7" x14ac:dyDescent="0.2">
      <c r="A23" s="42" t="s">
        <v>162</v>
      </c>
      <c r="B23" s="20">
        <v>25824</v>
      </c>
      <c r="C23" s="20">
        <v>0</v>
      </c>
      <c r="D23" s="20">
        <v>25824</v>
      </c>
      <c r="E23" s="20">
        <v>0</v>
      </c>
      <c r="F23" s="20">
        <v>25824</v>
      </c>
      <c r="G23" s="43">
        <v>25824</v>
      </c>
    </row>
    <row r="24" spans="1:7" x14ac:dyDescent="0.2">
      <c r="A24" s="42" t="s">
        <v>163</v>
      </c>
      <c r="B24" s="20">
        <v>37296</v>
      </c>
      <c r="C24" s="20">
        <v>0</v>
      </c>
      <c r="D24" s="20">
        <v>37296</v>
      </c>
      <c r="E24" s="20">
        <v>0</v>
      </c>
      <c r="F24" s="20">
        <v>37296</v>
      </c>
      <c r="G24" s="43">
        <v>37296</v>
      </c>
    </row>
    <row r="25" spans="1:7" x14ac:dyDescent="0.2">
      <c r="A25" s="42" t="s">
        <v>164</v>
      </c>
      <c r="B25" s="20">
        <v>10265</v>
      </c>
      <c r="C25" s="20">
        <v>0</v>
      </c>
      <c r="D25" s="20">
        <v>10265</v>
      </c>
      <c r="E25" s="20">
        <v>0</v>
      </c>
      <c r="F25" s="20">
        <v>10265</v>
      </c>
      <c r="G25" s="43">
        <v>10265</v>
      </c>
    </row>
    <row r="26" spans="1:7" x14ac:dyDescent="0.2">
      <c r="A26" s="42" t="s">
        <v>165</v>
      </c>
      <c r="B26" s="20">
        <v>44284</v>
      </c>
      <c r="C26" s="20">
        <v>0</v>
      </c>
      <c r="D26" s="20">
        <v>44284</v>
      </c>
      <c r="E26" s="20">
        <v>0</v>
      </c>
      <c r="F26" s="20">
        <v>44284</v>
      </c>
      <c r="G26" s="43">
        <v>44284</v>
      </c>
    </row>
    <row r="27" spans="1:7" x14ac:dyDescent="0.2">
      <c r="A27" s="42" t="s">
        <v>166</v>
      </c>
      <c r="B27" s="20">
        <v>28511</v>
      </c>
      <c r="C27" s="20">
        <v>0</v>
      </c>
      <c r="D27" s="20">
        <v>28511</v>
      </c>
      <c r="E27" s="20">
        <v>0</v>
      </c>
      <c r="F27" s="20">
        <v>28511</v>
      </c>
      <c r="G27" s="43">
        <v>28511</v>
      </c>
    </row>
    <row r="28" spans="1:7" x14ac:dyDescent="0.2">
      <c r="A28" s="42" t="s">
        <v>167</v>
      </c>
      <c r="B28" s="20">
        <v>44772</v>
      </c>
      <c r="C28" s="20">
        <v>0</v>
      </c>
      <c r="D28" s="20">
        <v>44772</v>
      </c>
      <c r="E28" s="20">
        <v>0</v>
      </c>
      <c r="F28" s="20">
        <v>44772</v>
      </c>
      <c r="G28" s="43">
        <v>44772</v>
      </c>
    </row>
    <row r="29" spans="1:7" x14ac:dyDescent="0.2">
      <c r="A29" s="42" t="s">
        <v>168</v>
      </c>
      <c r="B29" s="20">
        <v>27628</v>
      </c>
      <c r="C29" s="20">
        <v>0</v>
      </c>
      <c r="D29" s="20">
        <v>27628</v>
      </c>
      <c r="E29" s="20">
        <v>0</v>
      </c>
      <c r="F29" s="20">
        <v>27628</v>
      </c>
      <c r="G29" s="43">
        <v>27628</v>
      </c>
    </row>
    <row r="30" spans="1:7" x14ac:dyDescent="0.2">
      <c r="A30" s="42" t="s">
        <v>169</v>
      </c>
      <c r="B30" s="20">
        <v>29728</v>
      </c>
      <c r="C30" s="20">
        <v>0</v>
      </c>
      <c r="D30" s="20">
        <v>29728</v>
      </c>
      <c r="E30" s="20">
        <v>0</v>
      </c>
      <c r="F30" s="20">
        <v>29728</v>
      </c>
      <c r="G30" s="43">
        <v>29728</v>
      </c>
    </row>
    <row r="31" spans="1:7" x14ac:dyDescent="0.2">
      <c r="A31" s="42" t="s">
        <v>170</v>
      </c>
      <c r="B31" s="20">
        <v>42415</v>
      </c>
      <c r="C31" s="20">
        <v>0</v>
      </c>
      <c r="D31" s="20">
        <v>42415</v>
      </c>
      <c r="E31" s="20">
        <v>0</v>
      </c>
      <c r="F31" s="20">
        <v>42415</v>
      </c>
      <c r="G31" s="43">
        <v>42415</v>
      </c>
    </row>
    <row r="32" spans="1:7" x14ac:dyDescent="0.2">
      <c r="A32" s="42" t="s">
        <v>171</v>
      </c>
      <c r="B32" s="20">
        <v>4068</v>
      </c>
      <c r="C32" s="20">
        <v>0</v>
      </c>
      <c r="D32" s="20">
        <v>4068</v>
      </c>
      <c r="E32" s="20">
        <v>0</v>
      </c>
      <c r="F32" s="20">
        <v>4068</v>
      </c>
      <c r="G32" s="43">
        <v>4068</v>
      </c>
    </row>
    <row r="33" spans="1:7" x14ac:dyDescent="0.2">
      <c r="A33" s="42" t="s">
        <v>172</v>
      </c>
      <c r="B33" s="20">
        <v>9775</v>
      </c>
      <c r="C33" s="20">
        <v>0</v>
      </c>
      <c r="D33" s="20">
        <v>9775</v>
      </c>
      <c r="E33" s="20">
        <v>0</v>
      </c>
      <c r="F33" s="20">
        <v>9775</v>
      </c>
      <c r="G33" s="43">
        <v>9775</v>
      </c>
    </row>
    <row r="34" spans="1:7" x14ac:dyDescent="0.2">
      <c r="A34" s="42" t="s">
        <v>173</v>
      </c>
      <c r="B34" s="20">
        <v>17666</v>
      </c>
      <c r="C34" s="20">
        <v>0</v>
      </c>
      <c r="D34" s="20">
        <v>17666</v>
      </c>
      <c r="E34" s="20">
        <v>0</v>
      </c>
      <c r="F34" s="20">
        <v>17666</v>
      </c>
      <c r="G34" s="43">
        <v>17666</v>
      </c>
    </row>
    <row r="35" spans="1:7" x14ac:dyDescent="0.2">
      <c r="A35" s="42" t="s">
        <v>174</v>
      </c>
      <c r="B35" s="20">
        <v>3212</v>
      </c>
      <c r="C35" s="20">
        <v>0</v>
      </c>
      <c r="D35" s="20">
        <v>3212</v>
      </c>
      <c r="E35" s="20">
        <v>0</v>
      </c>
      <c r="F35" s="20">
        <v>3212</v>
      </c>
      <c r="G35" s="43">
        <v>3212</v>
      </c>
    </row>
    <row r="36" spans="1:7" x14ac:dyDescent="0.2">
      <c r="A36" s="42" t="s">
        <v>175</v>
      </c>
      <c r="B36" s="20">
        <v>48521</v>
      </c>
      <c r="C36" s="20">
        <v>0</v>
      </c>
      <c r="D36" s="20">
        <v>48521</v>
      </c>
      <c r="E36" s="20">
        <v>0</v>
      </c>
      <c r="F36" s="20">
        <v>48521</v>
      </c>
      <c r="G36" s="43">
        <v>48521</v>
      </c>
    </row>
    <row r="37" spans="1:7" x14ac:dyDescent="0.2">
      <c r="A37" s="42" t="s">
        <v>176</v>
      </c>
      <c r="B37" s="20">
        <v>34220</v>
      </c>
      <c r="C37" s="20">
        <v>0</v>
      </c>
      <c r="D37" s="20">
        <v>34220</v>
      </c>
      <c r="E37" s="20">
        <v>0</v>
      </c>
      <c r="F37" s="20">
        <v>34220</v>
      </c>
      <c r="G37" s="43">
        <v>34220</v>
      </c>
    </row>
    <row r="38" spans="1:7" x14ac:dyDescent="0.2">
      <c r="A38" s="42" t="s">
        <v>177</v>
      </c>
      <c r="B38" s="20">
        <v>205186</v>
      </c>
      <c r="C38" s="20">
        <v>0</v>
      </c>
      <c r="D38" s="20">
        <v>205186</v>
      </c>
      <c r="E38" s="20">
        <v>0</v>
      </c>
      <c r="F38" s="20">
        <v>205186</v>
      </c>
      <c r="G38" s="43">
        <v>205186</v>
      </c>
    </row>
    <row r="39" spans="1:7" x14ac:dyDescent="0.2">
      <c r="A39" s="42" t="s">
        <v>178</v>
      </c>
      <c r="B39" s="20">
        <v>77688</v>
      </c>
      <c r="C39" s="20">
        <v>0</v>
      </c>
      <c r="D39" s="20">
        <v>77688</v>
      </c>
      <c r="E39" s="20">
        <v>0</v>
      </c>
      <c r="F39" s="20">
        <v>77688</v>
      </c>
      <c r="G39" s="43">
        <v>77688</v>
      </c>
    </row>
    <row r="40" spans="1:7" x14ac:dyDescent="0.2">
      <c r="A40" s="42" t="s">
        <v>179</v>
      </c>
      <c r="B40" s="20">
        <v>3535</v>
      </c>
      <c r="C40" s="20">
        <v>0</v>
      </c>
      <c r="D40" s="20">
        <v>3535</v>
      </c>
      <c r="E40" s="20">
        <v>0</v>
      </c>
      <c r="F40" s="20">
        <v>3535</v>
      </c>
      <c r="G40" s="43">
        <v>3535</v>
      </c>
    </row>
    <row r="41" spans="1:7" x14ac:dyDescent="0.2">
      <c r="A41" s="42" t="s">
        <v>180</v>
      </c>
      <c r="B41" s="20">
        <v>62151</v>
      </c>
      <c r="C41" s="20">
        <v>0</v>
      </c>
      <c r="D41" s="20">
        <v>62151</v>
      </c>
      <c r="E41" s="20">
        <v>0</v>
      </c>
      <c r="F41" s="20">
        <v>62151</v>
      </c>
      <c r="G41" s="43">
        <v>62151</v>
      </c>
    </row>
    <row r="42" spans="1:7" x14ac:dyDescent="0.2">
      <c r="A42" s="42" t="s">
        <v>181</v>
      </c>
      <c r="B42" s="20">
        <v>47918</v>
      </c>
      <c r="C42" s="20">
        <v>0</v>
      </c>
      <c r="D42" s="20">
        <v>47918</v>
      </c>
      <c r="E42" s="20">
        <v>0</v>
      </c>
      <c r="F42" s="20">
        <v>47918</v>
      </c>
      <c r="G42" s="43">
        <v>47918</v>
      </c>
    </row>
    <row r="43" spans="1:7" x14ac:dyDescent="0.2">
      <c r="A43" s="42" t="s">
        <v>182</v>
      </c>
      <c r="B43" s="20">
        <v>24217</v>
      </c>
      <c r="C43" s="20">
        <v>0</v>
      </c>
      <c r="D43" s="20">
        <v>24217</v>
      </c>
      <c r="E43" s="20">
        <v>0</v>
      </c>
      <c r="F43" s="20">
        <v>24217</v>
      </c>
      <c r="G43" s="43">
        <v>24217</v>
      </c>
    </row>
    <row r="44" spans="1:7" x14ac:dyDescent="0.2">
      <c r="A44" s="42" t="s">
        <v>183</v>
      </c>
      <c r="B44" s="20">
        <v>52851</v>
      </c>
      <c r="C44" s="20">
        <v>0</v>
      </c>
      <c r="D44" s="20">
        <v>52851</v>
      </c>
      <c r="E44" s="20">
        <v>0</v>
      </c>
      <c r="F44" s="20">
        <v>52851</v>
      </c>
      <c r="G44" s="43">
        <v>52851</v>
      </c>
    </row>
    <row r="45" spans="1:7" x14ac:dyDescent="0.2">
      <c r="A45" s="42" t="s">
        <v>184</v>
      </c>
      <c r="B45" s="20">
        <v>4081</v>
      </c>
      <c r="C45" s="20">
        <v>0</v>
      </c>
      <c r="D45" s="20">
        <v>4081</v>
      </c>
      <c r="E45" s="20">
        <v>0</v>
      </c>
      <c r="F45" s="20">
        <v>4081</v>
      </c>
      <c r="G45" s="43">
        <v>4081</v>
      </c>
    </row>
    <row r="46" spans="1:7" x14ac:dyDescent="0.2">
      <c r="A46" s="42" t="s">
        <v>185</v>
      </c>
      <c r="B46" s="20">
        <v>31518</v>
      </c>
      <c r="C46" s="20">
        <v>0</v>
      </c>
      <c r="D46" s="20">
        <v>31518</v>
      </c>
      <c r="E46" s="20">
        <v>0</v>
      </c>
      <c r="F46" s="20">
        <v>31518</v>
      </c>
      <c r="G46" s="43">
        <v>31518</v>
      </c>
    </row>
    <row r="47" spans="1:7" x14ac:dyDescent="0.2">
      <c r="A47" s="42" t="s">
        <v>186</v>
      </c>
      <c r="B47" s="20">
        <v>4095</v>
      </c>
      <c r="C47" s="20">
        <v>0</v>
      </c>
      <c r="D47" s="20">
        <v>4095</v>
      </c>
      <c r="E47" s="20">
        <v>0</v>
      </c>
      <c r="F47" s="20">
        <v>4095</v>
      </c>
      <c r="G47" s="43">
        <v>4095</v>
      </c>
    </row>
    <row r="48" spans="1:7" x14ac:dyDescent="0.2">
      <c r="A48" s="42" t="s">
        <v>187</v>
      </c>
      <c r="B48" s="20">
        <v>84972</v>
      </c>
      <c r="C48" s="20">
        <v>0</v>
      </c>
      <c r="D48" s="20">
        <v>84972</v>
      </c>
      <c r="E48" s="20">
        <v>0</v>
      </c>
      <c r="F48" s="20">
        <v>84972</v>
      </c>
      <c r="G48" s="43">
        <v>84972</v>
      </c>
    </row>
    <row r="49" spans="1:7" x14ac:dyDescent="0.2">
      <c r="A49" s="42" t="s">
        <v>188</v>
      </c>
      <c r="B49" s="20">
        <v>198689</v>
      </c>
      <c r="C49" s="20">
        <v>0</v>
      </c>
      <c r="D49" s="20">
        <v>198689</v>
      </c>
      <c r="E49" s="20">
        <v>0</v>
      </c>
      <c r="F49" s="20">
        <v>198689</v>
      </c>
      <c r="G49" s="43">
        <v>198689</v>
      </c>
    </row>
    <row r="50" spans="1:7" x14ac:dyDescent="0.2">
      <c r="A50" s="42" t="s">
        <v>189</v>
      </c>
      <c r="B50" s="20">
        <v>27172</v>
      </c>
      <c r="C50" s="20">
        <v>0</v>
      </c>
      <c r="D50" s="20">
        <v>27172</v>
      </c>
      <c r="E50" s="20">
        <v>0</v>
      </c>
      <c r="F50" s="20">
        <v>27172</v>
      </c>
      <c r="G50" s="43">
        <v>27172</v>
      </c>
    </row>
    <row r="51" spans="1:7" x14ac:dyDescent="0.2">
      <c r="A51" s="42" t="s">
        <v>190</v>
      </c>
      <c r="B51" s="20">
        <v>3038</v>
      </c>
      <c r="C51" s="20">
        <v>0</v>
      </c>
      <c r="D51" s="20">
        <v>3038</v>
      </c>
      <c r="E51" s="20">
        <v>0</v>
      </c>
      <c r="F51" s="20">
        <v>3038</v>
      </c>
      <c r="G51" s="43">
        <v>3038</v>
      </c>
    </row>
    <row r="52" spans="1:7" x14ac:dyDescent="0.2">
      <c r="A52" s="42" t="s">
        <v>191</v>
      </c>
      <c r="B52" s="20">
        <v>41075</v>
      </c>
      <c r="C52" s="20">
        <v>0</v>
      </c>
      <c r="D52" s="20">
        <v>41075</v>
      </c>
      <c r="E52" s="20">
        <v>0</v>
      </c>
      <c r="F52" s="20">
        <v>41075</v>
      </c>
      <c r="G52" s="43">
        <v>41075</v>
      </c>
    </row>
    <row r="53" spans="1:7" x14ac:dyDescent="0.2">
      <c r="A53" s="42" t="s">
        <v>192</v>
      </c>
      <c r="B53" s="20">
        <v>37334</v>
      </c>
      <c r="C53" s="20">
        <v>0</v>
      </c>
      <c r="D53" s="20">
        <v>37334</v>
      </c>
      <c r="E53" s="20">
        <v>0</v>
      </c>
      <c r="F53" s="20">
        <v>37334</v>
      </c>
      <c r="G53" s="43">
        <v>37334</v>
      </c>
    </row>
    <row r="54" spans="1:7" x14ac:dyDescent="0.2">
      <c r="A54" s="42" t="s">
        <v>193</v>
      </c>
      <c r="B54" s="20">
        <v>16091</v>
      </c>
      <c r="C54" s="20">
        <v>0</v>
      </c>
      <c r="D54" s="20">
        <v>16091</v>
      </c>
      <c r="E54" s="20">
        <v>0</v>
      </c>
      <c r="F54" s="20">
        <v>16091</v>
      </c>
      <c r="G54" s="43">
        <v>16091</v>
      </c>
    </row>
    <row r="55" spans="1:7" x14ac:dyDescent="0.2">
      <c r="A55" s="42" t="s">
        <v>194</v>
      </c>
      <c r="B55" s="20">
        <v>45516</v>
      </c>
      <c r="C55" s="20">
        <v>0</v>
      </c>
      <c r="D55" s="20">
        <v>45516</v>
      </c>
      <c r="E55" s="20">
        <v>0</v>
      </c>
      <c r="F55" s="20">
        <v>45516</v>
      </c>
      <c r="G55" s="43">
        <v>45516</v>
      </c>
    </row>
    <row r="56" spans="1:7" x14ac:dyDescent="0.2">
      <c r="A56" s="42" t="s">
        <v>195</v>
      </c>
      <c r="B56" s="20">
        <v>3370</v>
      </c>
      <c r="C56" s="20">
        <v>0</v>
      </c>
      <c r="D56" s="20">
        <v>3370</v>
      </c>
      <c r="E56" s="20">
        <v>0</v>
      </c>
      <c r="F56" s="20">
        <v>3370</v>
      </c>
      <c r="G56" s="43">
        <v>3370</v>
      </c>
    </row>
    <row r="57" spans="1:7" x14ac:dyDescent="0.2">
      <c r="A57" s="42" t="s">
        <v>196</v>
      </c>
      <c r="B57" s="20">
        <v>648</v>
      </c>
      <c r="C57" s="20">
        <v>0</v>
      </c>
      <c r="D57" s="20">
        <v>648</v>
      </c>
      <c r="E57" s="20">
        <v>0</v>
      </c>
      <c r="F57" s="20">
        <v>648</v>
      </c>
      <c r="G57" s="43">
        <v>648</v>
      </c>
    </row>
    <row r="58" spans="1:7" x14ac:dyDescent="0.2">
      <c r="A58" s="42" t="s">
        <v>197</v>
      </c>
      <c r="B58" s="20">
        <v>530</v>
      </c>
      <c r="C58" s="20">
        <v>0</v>
      </c>
      <c r="D58" s="20">
        <v>530</v>
      </c>
      <c r="E58" s="20">
        <v>0</v>
      </c>
      <c r="F58" s="20">
        <v>530</v>
      </c>
      <c r="G58" s="43">
        <v>530</v>
      </c>
    </row>
    <row r="59" spans="1:7" x14ac:dyDescent="0.2">
      <c r="A59" s="42" t="s">
        <v>198</v>
      </c>
      <c r="B59" s="20">
        <v>231</v>
      </c>
      <c r="C59" s="20">
        <v>0</v>
      </c>
      <c r="D59" s="20">
        <v>231</v>
      </c>
      <c r="E59" s="20">
        <v>0</v>
      </c>
      <c r="F59" s="20">
        <v>231</v>
      </c>
      <c r="G59" s="43">
        <v>231</v>
      </c>
    </row>
    <row r="60" spans="1:7" x14ac:dyDescent="0.2">
      <c r="A60" s="42" t="s">
        <v>199</v>
      </c>
      <c r="B60" s="20">
        <v>40718</v>
      </c>
      <c r="C60" s="20">
        <v>0</v>
      </c>
      <c r="D60" s="20">
        <v>40718</v>
      </c>
      <c r="E60" s="20">
        <v>0</v>
      </c>
      <c r="F60" s="20">
        <v>40718</v>
      </c>
      <c r="G60" s="43">
        <v>40718</v>
      </c>
    </row>
    <row r="61" spans="1:7" x14ac:dyDescent="0.2">
      <c r="A61" s="42" t="s">
        <v>200</v>
      </c>
      <c r="B61" s="20">
        <v>0</v>
      </c>
      <c r="C61" s="20">
        <v>0</v>
      </c>
      <c r="D61" s="20">
        <v>0</v>
      </c>
      <c r="E61" s="20">
        <v>0</v>
      </c>
      <c r="F61" s="20">
        <v>0</v>
      </c>
      <c r="G61" s="43">
        <v>0</v>
      </c>
    </row>
    <row r="62" spans="1:7" x14ac:dyDescent="0.2">
      <c r="A62" s="42" t="s">
        <v>201</v>
      </c>
      <c r="B62" s="20">
        <v>1831</v>
      </c>
      <c r="C62" s="20">
        <v>0</v>
      </c>
      <c r="D62" s="20">
        <v>1831</v>
      </c>
      <c r="E62" s="20">
        <v>0</v>
      </c>
      <c r="F62" s="20">
        <v>1831</v>
      </c>
      <c r="G62" s="43">
        <v>1831</v>
      </c>
    </row>
    <row r="63" spans="1:7" x14ac:dyDescent="0.2">
      <c r="A63" s="42" t="s">
        <v>202</v>
      </c>
      <c r="B63" s="20">
        <v>3025</v>
      </c>
      <c r="C63" s="20">
        <v>0</v>
      </c>
      <c r="D63" s="20">
        <v>3025</v>
      </c>
      <c r="E63" s="20">
        <v>0</v>
      </c>
      <c r="F63" s="20">
        <v>3025</v>
      </c>
      <c r="G63" s="43">
        <v>3025</v>
      </c>
    </row>
    <row r="64" spans="1:7" x14ac:dyDescent="0.2">
      <c r="A64" s="42" t="s">
        <v>203</v>
      </c>
      <c r="B64" s="20">
        <v>0</v>
      </c>
      <c r="C64" s="20">
        <v>0</v>
      </c>
      <c r="D64" s="20">
        <v>0</v>
      </c>
      <c r="E64" s="20">
        <v>0</v>
      </c>
      <c r="F64" s="20">
        <v>0</v>
      </c>
      <c r="G64" s="43">
        <v>0</v>
      </c>
    </row>
    <row r="65" spans="1:7" ht="15" customHeight="1" x14ac:dyDescent="0.2">
      <c r="A65" s="44" t="s">
        <v>204</v>
      </c>
      <c r="B65" s="45">
        <v>2344628</v>
      </c>
      <c r="C65" s="45">
        <v>0</v>
      </c>
      <c r="D65" s="45">
        <v>2344628</v>
      </c>
      <c r="E65" s="45">
        <v>0</v>
      </c>
      <c r="F65" s="45">
        <v>2344628</v>
      </c>
      <c r="G65" s="51">
        <v>2344628</v>
      </c>
    </row>
    <row r="66" spans="1:7" ht="15" customHeight="1" x14ac:dyDescent="0.2">
      <c r="A66" s="101" t="s">
        <v>205</v>
      </c>
      <c r="B66" s="101"/>
      <c r="C66" s="101"/>
      <c r="D66" s="101"/>
      <c r="E66" s="101"/>
      <c r="F66" s="101"/>
      <c r="G66" s="101"/>
    </row>
    <row r="67" spans="1:7" ht="15" customHeight="1" x14ac:dyDescent="0.2">
      <c r="A67" s="102" t="s">
        <v>573</v>
      </c>
      <c r="B67" s="102"/>
      <c r="C67" s="102"/>
      <c r="D67" s="102"/>
      <c r="E67" s="102"/>
      <c r="F67" s="102"/>
      <c r="G67" s="102"/>
    </row>
    <row r="68" spans="1:7" ht="15" customHeight="1" x14ac:dyDescent="0.2">
      <c r="A68" s="102" t="s">
        <v>574</v>
      </c>
      <c r="B68" s="102"/>
      <c r="C68" s="102"/>
      <c r="D68" s="102"/>
      <c r="E68" s="102"/>
      <c r="F68" s="102"/>
      <c r="G68" s="102"/>
    </row>
    <row r="69" spans="1:7" ht="15" customHeight="1" x14ac:dyDescent="0.2">
      <c r="A69" s="102" t="s">
        <v>575</v>
      </c>
      <c r="B69" s="102"/>
      <c r="C69" s="102"/>
      <c r="D69" s="102"/>
      <c r="E69" s="102"/>
      <c r="F69" s="102"/>
      <c r="G69" s="102"/>
    </row>
    <row r="70" spans="1:7" ht="15" customHeight="1" x14ac:dyDescent="0.2">
      <c r="A70" s="102" t="s">
        <v>576</v>
      </c>
      <c r="B70" s="102"/>
      <c r="C70" s="102"/>
      <c r="D70" s="102"/>
      <c r="E70" s="102"/>
      <c r="F70" s="102"/>
      <c r="G70" s="102"/>
    </row>
    <row r="71" spans="1:7" ht="15" customHeight="1" x14ac:dyDescent="0.2">
      <c r="A71" s="102" t="s">
        <v>577</v>
      </c>
      <c r="B71" s="102"/>
      <c r="C71" s="102"/>
      <c r="D71" s="102"/>
      <c r="E71" s="102"/>
      <c r="F71" s="102"/>
      <c r="G71" s="102"/>
    </row>
    <row r="72" spans="1:7" ht="15" customHeight="1" x14ac:dyDescent="0.2">
      <c r="A72" s="102" t="s">
        <v>578</v>
      </c>
      <c r="B72" s="102"/>
      <c r="C72" s="102"/>
      <c r="D72" s="102"/>
      <c r="E72" s="102"/>
      <c r="F72" s="102"/>
      <c r="G72" s="102"/>
    </row>
    <row r="73" spans="1:7" ht="15" customHeight="1" x14ac:dyDescent="0.2">
      <c r="A73" s="102" t="s">
        <v>579</v>
      </c>
      <c r="B73" s="102"/>
      <c r="C73" s="102"/>
      <c r="D73" s="102"/>
      <c r="E73" s="102"/>
      <c r="F73" s="102"/>
      <c r="G73" s="102"/>
    </row>
    <row r="74" spans="1:7" ht="15" customHeight="1" x14ac:dyDescent="0.2">
      <c r="A74" s="102" t="s">
        <v>580</v>
      </c>
      <c r="B74" s="102"/>
      <c r="C74" s="102"/>
      <c r="D74" s="102"/>
      <c r="E74" s="102"/>
      <c r="F74" s="102"/>
      <c r="G74" s="102"/>
    </row>
    <row r="75" spans="1:7" ht="15" customHeight="1" x14ac:dyDescent="0.2">
      <c r="A75" s="102" t="s">
        <v>581</v>
      </c>
      <c r="B75" s="102"/>
      <c r="C75" s="102"/>
      <c r="D75" s="102"/>
      <c r="E75" s="102"/>
      <c r="F75" s="102"/>
      <c r="G75" s="102"/>
    </row>
  </sheetData>
  <mergeCells count="14">
    <mergeCell ref="A74:G74"/>
    <mergeCell ref="A75:G75"/>
    <mergeCell ref="A68:G68"/>
    <mergeCell ref="A69:G69"/>
    <mergeCell ref="A70:G70"/>
    <mergeCell ref="A71:G71"/>
    <mergeCell ref="A72:G72"/>
    <mergeCell ref="A73:G73"/>
    <mergeCell ref="A67:G67"/>
    <mergeCell ref="A4:A5"/>
    <mergeCell ref="B4:B5"/>
    <mergeCell ref="F4:F5"/>
    <mergeCell ref="G4:G5"/>
    <mergeCell ref="A66:G66"/>
  </mergeCell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pageSetUpPr fitToPage="1"/>
  </sheetPr>
  <dimension ref="A1:G69"/>
  <sheetViews>
    <sheetView workbookViewId="0"/>
  </sheetViews>
  <sheetFormatPr defaultRowHeight="12.75" x14ac:dyDescent="0.2"/>
  <cols>
    <col min="1" max="1" width="30.7109375" customWidth="1"/>
    <col min="2" max="7" width="11.7109375" customWidth="1"/>
  </cols>
  <sheetData>
    <row r="1" spans="1:7" ht="38.25" customHeight="1" x14ac:dyDescent="0.2">
      <c r="A1" s="15" t="s">
        <v>130</v>
      </c>
      <c r="B1" s="16"/>
      <c r="C1" s="16"/>
      <c r="D1" s="16"/>
      <c r="E1" s="16"/>
      <c r="F1" s="16"/>
      <c r="G1" s="15" t="s">
        <v>258</v>
      </c>
    </row>
    <row r="2" spans="1:7" x14ac:dyDescent="0.2">
      <c r="A2" s="17" t="s">
        <v>366</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0</v>
      </c>
      <c r="C6" s="20">
        <v>0</v>
      </c>
      <c r="D6" s="20">
        <v>0</v>
      </c>
      <c r="E6" s="20">
        <v>188331</v>
      </c>
      <c r="F6" s="20">
        <v>141248</v>
      </c>
      <c r="G6" s="43">
        <v>47083</v>
      </c>
    </row>
    <row r="7" spans="1:7" x14ac:dyDescent="0.2">
      <c r="A7" s="42" t="s">
        <v>146</v>
      </c>
      <c r="B7" s="20">
        <v>0</v>
      </c>
      <c r="C7" s="20">
        <v>0</v>
      </c>
      <c r="D7" s="20">
        <v>0</v>
      </c>
      <c r="E7" s="20">
        <v>324217</v>
      </c>
      <c r="F7" s="20">
        <v>243162</v>
      </c>
      <c r="G7" s="43">
        <v>81054</v>
      </c>
    </row>
    <row r="8" spans="1:7" x14ac:dyDescent="0.2">
      <c r="A8" s="42" t="s">
        <v>147</v>
      </c>
      <c r="B8" s="20">
        <v>0</v>
      </c>
      <c r="C8" s="20">
        <v>0</v>
      </c>
      <c r="D8" s="20">
        <v>0</v>
      </c>
      <c r="E8" s="20">
        <v>205121</v>
      </c>
      <c r="F8" s="20">
        <v>153841</v>
      </c>
      <c r="G8" s="43">
        <v>51280</v>
      </c>
    </row>
    <row r="9" spans="1:7" x14ac:dyDescent="0.2">
      <c r="A9" s="42" t="s">
        <v>148</v>
      </c>
      <c r="B9" s="20">
        <v>0</v>
      </c>
      <c r="C9" s="20">
        <v>0</v>
      </c>
      <c r="D9" s="20">
        <v>0</v>
      </c>
      <c r="E9" s="20">
        <v>95230</v>
      </c>
      <c r="F9" s="20">
        <v>71422</v>
      </c>
      <c r="G9" s="43">
        <v>23807</v>
      </c>
    </row>
    <row r="10" spans="1:7" x14ac:dyDescent="0.2">
      <c r="A10" s="42" t="s">
        <v>149</v>
      </c>
      <c r="B10" s="20">
        <v>0</v>
      </c>
      <c r="C10" s="20">
        <v>0</v>
      </c>
      <c r="D10" s="20">
        <v>0</v>
      </c>
      <c r="E10" s="20">
        <v>851511</v>
      </c>
      <c r="F10" s="20">
        <v>638633</v>
      </c>
      <c r="G10" s="43">
        <v>212878</v>
      </c>
    </row>
    <row r="11" spans="1:7" x14ac:dyDescent="0.2">
      <c r="A11" s="42" t="s">
        <v>150</v>
      </c>
      <c r="B11" s="20">
        <v>0</v>
      </c>
      <c r="C11" s="20">
        <v>0</v>
      </c>
      <c r="D11" s="20">
        <v>0</v>
      </c>
      <c r="E11" s="20">
        <v>66669</v>
      </c>
      <c r="F11" s="20">
        <v>50002</v>
      </c>
      <c r="G11" s="43">
        <v>16667</v>
      </c>
    </row>
    <row r="12" spans="1:7" x14ac:dyDescent="0.2">
      <c r="A12" s="42" t="s">
        <v>151</v>
      </c>
      <c r="B12" s="20">
        <v>0</v>
      </c>
      <c r="C12" s="20">
        <v>0</v>
      </c>
      <c r="D12" s="20">
        <v>0</v>
      </c>
      <c r="E12" s="20">
        <v>48588</v>
      </c>
      <c r="F12" s="20">
        <v>36441</v>
      </c>
      <c r="G12" s="43">
        <v>12147</v>
      </c>
    </row>
    <row r="13" spans="1:7" x14ac:dyDescent="0.2">
      <c r="A13" s="42" t="s">
        <v>152</v>
      </c>
      <c r="B13" s="20">
        <v>0</v>
      </c>
      <c r="C13" s="20">
        <v>0</v>
      </c>
      <c r="D13" s="20">
        <v>0</v>
      </c>
      <c r="E13" s="20">
        <v>3686</v>
      </c>
      <c r="F13" s="20">
        <v>2764</v>
      </c>
      <c r="G13" s="43">
        <v>921</v>
      </c>
    </row>
    <row r="14" spans="1:7" x14ac:dyDescent="0.2">
      <c r="A14" s="42" t="s">
        <v>153</v>
      </c>
      <c r="B14" s="20">
        <v>0</v>
      </c>
      <c r="C14" s="20">
        <v>0</v>
      </c>
      <c r="D14" s="20">
        <v>0</v>
      </c>
      <c r="E14" s="20">
        <v>22523</v>
      </c>
      <c r="F14" s="20">
        <v>16892</v>
      </c>
      <c r="G14" s="43">
        <v>5631</v>
      </c>
    </row>
    <row r="15" spans="1:7" x14ac:dyDescent="0.2">
      <c r="A15" s="42" t="s">
        <v>154</v>
      </c>
      <c r="B15" s="20">
        <v>0</v>
      </c>
      <c r="C15" s="20">
        <v>0</v>
      </c>
      <c r="D15" s="20">
        <v>0</v>
      </c>
      <c r="E15" s="20">
        <v>254440</v>
      </c>
      <c r="F15" s="20">
        <v>190830</v>
      </c>
      <c r="G15" s="43">
        <v>63610</v>
      </c>
    </row>
    <row r="16" spans="1:7" x14ac:dyDescent="0.2">
      <c r="A16" s="42" t="s">
        <v>155</v>
      </c>
      <c r="B16" s="20">
        <v>0</v>
      </c>
      <c r="C16" s="20">
        <v>0</v>
      </c>
      <c r="D16" s="20">
        <v>0</v>
      </c>
      <c r="E16" s="20">
        <v>161954</v>
      </c>
      <c r="F16" s="20">
        <v>121465</v>
      </c>
      <c r="G16" s="43">
        <v>40488</v>
      </c>
    </row>
    <row r="17" spans="1:7" x14ac:dyDescent="0.2">
      <c r="A17" s="42" t="s">
        <v>156</v>
      </c>
      <c r="B17" s="20">
        <v>0</v>
      </c>
      <c r="C17" s="20">
        <v>0</v>
      </c>
      <c r="D17" s="20">
        <v>0</v>
      </c>
      <c r="E17" s="20">
        <v>24636</v>
      </c>
      <c r="F17" s="20">
        <v>18477</v>
      </c>
      <c r="G17" s="43">
        <v>6159</v>
      </c>
    </row>
    <row r="18" spans="1:7" x14ac:dyDescent="0.2">
      <c r="A18" s="42" t="s">
        <v>157</v>
      </c>
      <c r="B18" s="20">
        <v>0</v>
      </c>
      <c r="C18" s="20">
        <v>0</v>
      </c>
      <c r="D18" s="20">
        <v>0</v>
      </c>
      <c r="E18" s="20">
        <v>32476</v>
      </c>
      <c r="F18" s="20">
        <v>24357</v>
      </c>
      <c r="G18" s="43">
        <v>8119</v>
      </c>
    </row>
    <row r="19" spans="1:7" x14ac:dyDescent="0.2">
      <c r="A19" s="42" t="s">
        <v>158</v>
      </c>
      <c r="B19" s="20">
        <v>0</v>
      </c>
      <c r="C19" s="20">
        <v>0</v>
      </c>
      <c r="D19" s="20">
        <v>0</v>
      </c>
      <c r="E19" s="20">
        <v>288886</v>
      </c>
      <c r="F19" s="20">
        <v>216665</v>
      </c>
      <c r="G19" s="43">
        <v>72222</v>
      </c>
    </row>
    <row r="20" spans="1:7" x14ac:dyDescent="0.2">
      <c r="A20" s="42" t="s">
        <v>159</v>
      </c>
      <c r="B20" s="20">
        <v>0</v>
      </c>
      <c r="C20" s="20">
        <v>0</v>
      </c>
      <c r="D20" s="20">
        <v>0</v>
      </c>
      <c r="E20" s="20">
        <v>128566</v>
      </c>
      <c r="F20" s="20">
        <v>96424</v>
      </c>
      <c r="G20" s="43">
        <v>32141</v>
      </c>
    </row>
    <row r="21" spans="1:7" x14ac:dyDescent="0.2">
      <c r="A21" s="42" t="s">
        <v>160</v>
      </c>
      <c r="B21" s="20">
        <v>0</v>
      </c>
      <c r="C21" s="20">
        <v>0</v>
      </c>
      <c r="D21" s="20">
        <v>0</v>
      </c>
      <c r="E21" s="20">
        <v>44831</v>
      </c>
      <c r="F21" s="20">
        <v>33624</v>
      </c>
      <c r="G21" s="43">
        <v>11208</v>
      </c>
    </row>
    <row r="22" spans="1:7" x14ac:dyDescent="0.2">
      <c r="A22" s="42" t="s">
        <v>161</v>
      </c>
      <c r="B22" s="20">
        <v>0</v>
      </c>
      <c r="C22" s="20">
        <v>0</v>
      </c>
      <c r="D22" s="20">
        <v>0</v>
      </c>
      <c r="E22" s="20">
        <v>69358</v>
      </c>
      <c r="F22" s="20">
        <v>52018</v>
      </c>
      <c r="G22" s="43">
        <v>17339</v>
      </c>
    </row>
    <row r="23" spans="1:7" x14ac:dyDescent="0.2">
      <c r="A23" s="42" t="s">
        <v>162</v>
      </c>
      <c r="B23" s="20">
        <v>0</v>
      </c>
      <c r="C23" s="20">
        <v>0</v>
      </c>
      <c r="D23" s="20">
        <v>0</v>
      </c>
      <c r="E23" s="20">
        <v>78993</v>
      </c>
      <c r="F23" s="20">
        <v>59245</v>
      </c>
      <c r="G23" s="43">
        <v>19748</v>
      </c>
    </row>
    <row r="24" spans="1:7" x14ac:dyDescent="0.2">
      <c r="A24" s="42" t="s">
        <v>163</v>
      </c>
      <c r="B24" s="20">
        <v>0</v>
      </c>
      <c r="C24" s="20">
        <v>0</v>
      </c>
      <c r="D24" s="20">
        <v>0</v>
      </c>
      <c r="E24" s="20">
        <v>114085</v>
      </c>
      <c r="F24" s="20">
        <v>85564</v>
      </c>
      <c r="G24" s="43">
        <v>28521</v>
      </c>
    </row>
    <row r="25" spans="1:7" x14ac:dyDescent="0.2">
      <c r="A25" s="42" t="s">
        <v>164</v>
      </c>
      <c r="B25" s="20">
        <v>0</v>
      </c>
      <c r="C25" s="20">
        <v>0</v>
      </c>
      <c r="D25" s="20">
        <v>0</v>
      </c>
      <c r="E25" s="20">
        <v>31400</v>
      </c>
      <c r="F25" s="20">
        <v>23550</v>
      </c>
      <c r="G25" s="43">
        <v>7850</v>
      </c>
    </row>
    <row r="26" spans="1:7" x14ac:dyDescent="0.2">
      <c r="A26" s="42" t="s">
        <v>165</v>
      </c>
      <c r="B26" s="20">
        <v>0</v>
      </c>
      <c r="C26" s="20">
        <v>0</v>
      </c>
      <c r="D26" s="20">
        <v>0</v>
      </c>
      <c r="E26" s="20">
        <v>135461</v>
      </c>
      <c r="F26" s="20">
        <v>101595</v>
      </c>
      <c r="G26" s="43">
        <v>33865</v>
      </c>
    </row>
    <row r="27" spans="1:7" x14ac:dyDescent="0.2">
      <c r="A27" s="42" t="s">
        <v>166</v>
      </c>
      <c r="B27" s="20">
        <v>0</v>
      </c>
      <c r="C27" s="20">
        <v>0</v>
      </c>
      <c r="D27" s="20">
        <v>0</v>
      </c>
      <c r="E27" s="20">
        <v>87213</v>
      </c>
      <c r="F27" s="20">
        <v>65409</v>
      </c>
      <c r="G27" s="43">
        <v>21803</v>
      </c>
    </row>
    <row r="28" spans="1:7" x14ac:dyDescent="0.2">
      <c r="A28" s="42" t="s">
        <v>167</v>
      </c>
      <c r="B28" s="20">
        <v>0</v>
      </c>
      <c r="C28" s="20">
        <v>0</v>
      </c>
      <c r="D28" s="20">
        <v>0</v>
      </c>
      <c r="E28" s="20">
        <v>136953</v>
      </c>
      <c r="F28" s="20">
        <v>102715</v>
      </c>
      <c r="G28" s="43">
        <v>34238</v>
      </c>
    </row>
    <row r="29" spans="1:7" x14ac:dyDescent="0.2">
      <c r="A29" s="42" t="s">
        <v>168</v>
      </c>
      <c r="B29" s="20">
        <v>0</v>
      </c>
      <c r="C29" s="20">
        <v>0</v>
      </c>
      <c r="D29" s="20">
        <v>0</v>
      </c>
      <c r="E29" s="20">
        <v>84511</v>
      </c>
      <c r="F29" s="20">
        <v>63384</v>
      </c>
      <c r="G29" s="43">
        <v>21128</v>
      </c>
    </row>
    <row r="30" spans="1:7" x14ac:dyDescent="0.2">
      <c r="A30" s="42" t="s">
        <v>169</v>
      </c>
      <c r="B30" s="20">
        <v>0</v>
      </c>
      <c r="C30" s="20">
        <v>0</v>
      </c>
      <c r="D30" s="20">
        <v>0</v>
      </c>
      <c r="E30" s="20">
        <v>90935</v>
      </c>
      <c r="F30" s="20">
        <v>68201</v>
      </c>
      <c r="G30" s="43">
        <v>22734</v>
      </c>
    </row>
    <row r="31" spans="1:7" x14ac:dyDescent="0.2">
      <c r="A31" s="42" t="s">
        <v>170</v>
      </c>
      <c r="B31" s="20">
        <v>0</v>
      </c>
      <c r="C31" s="20">
        <v>0</v>
      </c>
      <c r="D31" s="20">
        <v>0</v>
      </c>
      <c r="E31" s="20">
        <v>129744</v>
      </c>
      <c r="F31" s="20">
        <v>97308</v>
      </c>
      <c r="G31" s="43">
        <v>32436</v>
      </c>
    </row>
    <row r="32" spans="1:7" x14ac:dyDescent="0.2">
      <c r="A32" s="42" t="s">
        <v>171</v>
      </c>
      <c r="B32" s="20">
        <v>0</v>
      </c>
      <c r="C32" s="20">
        <v>0</v>
      </c>
      <c r="D32" s="20">
        <v>0</v>
      </c>
      <c r="E32" s="20">
        <v>12444</v>
      </c>
      <c r="F32" s="20">
        <v>9333</v>
      </c>
      <c r="G32" s="43">
        <v>3111</v>
      </c>
    </row>
    <row r="33" spans="1:7" x14ac:dyDescent="0.2">
      <c r="A33" s="42" t="s">
        <v>172</v>
      </c>
      <c r="B33" s="20">
        <v>0</v>
      </c>
      <c r="C33" s="20">
        <v>0</v>
      </c>
      <c r="D33" s="20">
        <v>0</v>
      </c>
      <c r="E33" s="20">
        <v>29901</v>
      </c>
      <c r="F33" s="20">
        <v>22426</v>
      </c>
      <c r="G33" s="43">
        <v>7475</v>
      </c>
    </row>
    <row r="34" spans="1:7" x14ac:dyDescent="0.2">
      <c r="A34" s="42" t="s">
        <v>173</v>
      </c>
      <c r="B34" s="20">
        <v>0</v>
      </c>
      <c r="C34" s="20">
        <v>0</v>
      </c>
      <c r="D34" s="20">
        <v>0</v>
      </c>
      <c r="E34" s="20">
        <v>54039</v>
      </c>
      <c r="F34" s="20">
        <v>40529</v>
      </c>
      <c r="G34" s="43">
        <v>13510</v>
      </c>
    </row>
    <row r="35" spans="1:7" x14ac:dyDescent="0.2">
      <c r="A35" s="42" t="s">
        <v>174</v>
      </c>
      <c r="B35" s="20">
        <v>0</v>
      </c>
      <c r="C35" s="20">
        <v>0</v>
      </c>
      <c r="D35" s="20">
        <v>0</v>
      </c>
      <c r="E35" s="20">
        <v>9825</v>
      </c>
      <c r="F35" s="20">
        <v>7369</v>
      </c>
      <c r="G35" s="43">
        <v>2456</v>
      </c>
    </row>
    <row r="36" spans="1:7" x14ac:dyDescent="0.2">
      <c r="A36" s="42" t="s">
        <v>175</v>
      </c>
      <c r="B36" s="20">
        <v>0</v>
      </c>
      <c r="C36" s="20">
        <v>0</v>
      </c>
      <c r="D36" s="20">
        <v>0</v>
      </c>
      <c r="E36" s="20">
        <v>148421</v>
      </c>
      <c r="F36" s="20">
        <v>111316</v>
      </c>
      <c r="G36" s="43">
        <v>37105</v>
      </c>
    </row>
    <row r="37" spans="1:7" x14ac:dyDescent="0.2">
      <c r="A37" s="42" t="s">
        <v>176</v>
      </c>
      <c r="B37" s="20">
        <v>0</v>
      </c>
      <c r="C37" s="20">
        <v>0</v>
      </c>
      <c r="D37" s="20">
        <v>0</v>
      </c>
      <c r="E37" s="20">
        <v>104676</v>
      </c>
      <c r="F37" s="20">
        <v>78507</v>
      </c>
      <c r="G37" s="43">
        <v>26169</v>
      </c>
    </row>
    <row r="38" spans="1:7" x14ac:dyDescent="0.2">
      <c r="A38" s="42" t="s">
        <v>177</v>
      </c>
      <c r="B38" s="20">
        <v>0</v>
      </c>
      <c r="C38" s="20">
        <v>0</v>
      </c>
      <c r="D38" s="20">
        <v>0</v>
      </c>
      <c r="E38" s="20">
        <v>627645</v>
      </c>
      <c r="F38" s="20">
        <v>470734</v>
      </c>
      <c r="G38" s="43">
        <v>156911</v>
      </c>
    </row>
    <row r="39" spans="1:7" x14ac:dyDescent="0.2">
      <c r="A39" s="42" t="s">
        <v>178</v>
      </c>
      <c r="B39" s="20">
        <v>0</v>
      </c>
      <c r="C39" s="20">
        <v>0</v>
      </c>
      <c r="D39" s="20">
        <v>0</v>
      </c>
      <c r="E39" s="20">
        <v>237640</v>
      </c>
      <c r="F39" s="20">
        <v>178230</v>
      </c>
      <c r="G39" s="43">
        <v>59410</v>
      </c>
    </row>
    <row r="40" spans="1:7" x14ac:dyDescent="0.2">
      <c r="A40" s="42" t="s">
        <v>179</v>
      </c>
      <c r="B40" s="20">
        <v>0</v>
      </c>
      <c r="C40" s="20">
        <v>0</v>
      </c>
      <c r="D40" s="20">
        <v>0</v>
      </c>
      <c r="E40" s="20">
        <v>10813</v>
      </c>
      <c r="F40" s="20">
        <v>8110</v>
      </c>
      <c r="G40" s="43">
        <v>2703</v>
      </c>
    </row>
    <row r="41" spans="1:7" x14ac:dyDescent="0.2">
      <c r="A41" s="42" t="s">
        <v>180</v>
      </c>
      <c r="B41" s="20">
        <v>0</v>
      </c>
      <c r="C41" s="20">
        <v>0</v>
      </c>
      <c r="D41" s="20">
        <v>0</v>
      </c>
      <c r="E41" s="20">
        <v>190114</v>
      </c>
      <c r="F41" s="20">
        <v>142586</v>
      </c>
      <c r="G41" s="43">
        <v>47529</v>
      </c>
    </row>
    <row r="42" spans="1:7" x14ac:dyDescent="0.2">
      <c r="A42" s="42" t="s">
        <v>181</v>
      </c>
      <c r="B42" s="20">
        <v>0</v>
      </c>
      <c r="C42" s="20">
        <v>0</v>
      </c>
      <c r="D42" s="20">
        <v>0</v>
      </c>
      <c r="E42" s="20">
        <v>146577</v>
      </c>
      <c r="F42" s="20">
        <v>109933</v>
      </c>
      <c r="G42" s="43">
        <v>36644</v>
      </c>
    </row>
    <row r="43" spans="1:7" x14ac:dyDescent="0.2">
      <c r="A43" s="42" t="s">
        <v>182</v>
      </c>
      <c r="B43" s="20">
        <v>0</v>
      </c>
      <c r="C43" s="20">
        <v>0</v>
      </c>
      <c r="D43" s="20">
        <v>0</v>
      </c>
      <c r="E43" s="20">
        <v>74078</v>
      </c>
      <c r="F43" s="20">
        <v>55558</v>
      </c>
      <c r="G43" s="43">
        <v>18519</v>
      </c>
    </row>
    <row r="44" spans="1:7" x14ac:dyDescent="0.2">
      <c r="A44" s="42" t="s">
        <v>183</v>
      </c>
      <c r="B44" s="20">
        <v>0</v>
      </c>
      <c r="C44" s="20">
        <v>0</v>
      </c>
      <c r="D44" s="20">
        <v>0</v>
      </c>
      <c r="E44" s="20">
        <v>161666</v>
      </c>
      <c r="F44" s="20">
        <v>121250</v>
      </c>
      <c r="G44" s="43">
        <v>40417</v>
      </c>
    </row>
    <row r="45" spans="1:7" x14ac:dyDescent="0.2">
      <c r="A45" s="42" t="s">
        <v>184</v>
      </c>
      <c r="B45" s="20">
        <v>0</v>
      </c>
      <c r="C45" s="20">
        <v>0</v>
      </c>
      <c r="D45" s="20">
        <v>0</v>
      </c>
      <c r="E45" s="20">
        <v>12483</v>
      </c>
      <c r="F45" s="20">
        <v>9363</v>
      </c>
      <c r="G45" s="43">
        <v>3121</v>
      </c>
    </row>
    <row r="46" spans="1:7" x14ac:dyDescent="0.2">
      <c r="A46" s="42" t="s">
        <v>185</v>
      </c>
      <c r="B46" s="20">
        <v>0</v>
      </c>
      <c r="C46" s="20">
        <v>0</v>
      </c>
      <c r="D46" s="20">
        <v>0</v>
      </c>
      <c r="E46" s="20">
        <v>96411</v>
      </c>
      <c r="F46" s="20">
        <v>72308</v>
      </c>
      <c r="G46" s="43">
        <v>24103</v>
      </c>
    </row>
    <row r="47" spans="1:7" x14ac:dyDescent="0.2">
      <c r="A47" s="42" t="s">
        <v>186</v>
      </c>
      <c r="B47" s="20">
        <v>0</v>
      </c>
      <c r="C47" s="20">
        <v>0</v>
      </c>
      <c r="D47" s="20">
        <v>0</v>
      </c>
      <c r="E47" s="20">
        <v>12526</v>
      </c>
      <c r="F47" s="20">
        <v>9395</v>
      </c>
      <c r="G47" s="43">
        <v>3132</v>
      </c>
    </row>
    <row r="48" spans="1:7" x14ac:dyDescent="0.2">
      <c r="A48" s="42" t="s">
        <v>187</v>
      </c>
      <c r="B48" s="20">
        <v>0</v>
      </c>
      <c r="C48" s="20">
        <v>0</v>
      </c>
      <c r="D48" s="20">
        <v>0</v>
      </c>
      <c r="E48" s="20">
        <v>259921</v>
      </c>
      <c r="F48" s="20">
        <v>194941</v>
      </c>
      <c r="G48" s="43">
        <v>64980</v>
      </c>
    </row>
    <row r="49" spans="1:7" x14ac:dyDescent="0.2">
      <c r="A49" s="42" t="s">
        <v>188</v>
      </c>
      <c r="B49" s="20">
        <v>0</v>
      </c>
      <c r="C49" s="20">
        <v>0</v>
      </c>
      <c r="D49" s="20">
        <v>0</v>
      </c>
      <c r="E49" s="20">
        <v>607771</v>
      </c>
      <c r="F49" s="20">
        <v>455828</v>
      </c>
      <c r="G49" s="43">
        <v>151943</v>
      </c>
    </row>
    <row r="50" spans="1:7" x14ac:dyDescent="0.2">
      <c r="A50" s="42" t="s">
        <v>189</v>
      </c>
      <c r="B50" s="20">
        <v>0</v>
      </c>
      <c r="C50" s="20">
        <v>0</v>
      </c>
      <c r="D50" s="20">
        <v>0</v>
      </c>
      <c r="E50" s="20">
        <v>83117</v>
      </c>
      <c r="F50" s="20">
        <v>62337</v>
      </c>
      <c r="G50" s="43">
        <v>20779</v>
      </c>
    </row>
    <row r="51" spans="1:7" x14ac:dyDescent="0.2">
      <c r="A51" s="42" t="s">
        <v>190</v>
      </c>
      <c r="B51" s="20">
        <v>0</v>
      </c>
      <c r="C51" s="20">
        <v>0</v>
      </c>
      <c r="D51" s="20">
        <v>0</v>
      </c>
      <c r="E51" s="20">
        <v>9293</v>
      </c>
      <c r="F51" s="20">
        <v>6970</v>
      </c>
      <c r="G51" s="43">
        <v>2323</v>
      </c>
    </row>
    <row r="52" spans="1:7" x14ac:dyDescent="0.2">
      <c r="A52" s="42" t="s">
        <v>191</v>
      </c>
      <c r="B52" s="20">
        <v>0</v>
      </c>
      <c r="C52" s="20">
        <v>0</v>
      </c>
      <c r="D52" s="20">
        <v>0</v>
      </c>
      <c r="E52" s="20">
        <v>125645</v>
      </c>
      <c r="F52" s="20">
        <v>94233</v>
      </c>
      <c r="G52" s="43">
        <v>31411</v>
      </c>
    </row>
    <row r="53" spans="1:7" x14ac:dyDescent="0.2">
      <c r="A53" s="42" t="s">
        <v>192</v>
      </c>
      <c r="B53" s="20">
        <v>0</v>
      </c>
      <c r="C53" s="20">
        <v>0</v>
      </c>
      <c r="D53" s="20">
        <v>0</v>
      </c>
      <c r="E53" s="20">
        <v>114201</v>
      </c>
      <c r="F53" s="20">
        <v>85651</v>
      </c>
      <c r="G53" s="43">
        <v>28550</v>
      </c>
    </row>
    <row r="54" spans="1:7" x14ac:dyDescent="0.2">
      <c r="A54" s="42" t="s">
        <v>193</v>
      </c>
      <c r="B54" s="20">
        <v>0</v>
      </c>
      <c r="C54" s="20">
        <v>0</v>
      </c>
      <c r="D54" s="20">
        <v>0</v>
      </c>
      <c r="E54" s="20">
        <v>49221</v>
      </c>
      <c r="F54" s="20">
        <v>36916</v>
      </c>
      <c r="G54" s="43">
        <v>12305</v>
      </c>
    </row>
    <row r="55" spans="1:7" x14ac:dyDescent="0.2">
      <c r="A55" s="42" t="s">
        <v>194</v>
      </c>
      <c r="B55" s="20">
        <v>0</v>
      </c>
      <c r="C55" s="20">
        <v>0</v>
      </c>
      <c r="D55" s="20">
        <v>0</v>
      </c>
      <c r="E55" s="20">
        <v>139229</v>
      </c>
      <c r="F55" s="20">
        <v>104422</v>
      </c>
      <c r="G55" s="43">
        <v>34807</v>
      </c>
    </row>
    <row r="56" spans="1:7" x14ac:dyDescent="0.2">
      <c r="A56" s="42" t="s">
        <v>195</v>
      </c>
      <c r="B56" s="20">
        <v>0</v>
      </c>
      <c r="C56" s="20">
        <v>0</v>
      </c>
      <c r="D56" s="20">
        <v>0</v>
      </c>
      <c r="E56" s="20">
        <v>10309</v>
      </c>
      <c r="F56" s="20">
        <v>7731</v>
      </c>
      <c r="G56" s="43">
        <v>2577</v>
      </c>
    </row>
    <row r="57" spans="1:7" x14ac:dyDescent="0.2">
      <c r="A57" s="42" t="s">
        <v>196</v>
      </c>
      <c r="B57" s="20">
        <v>0</v>
      </c>
      <c r="C57" s="20">
        <v>0</v>
      </c>
      <c r="D57" s="20">
        <v>0</v>
      </c>
      <c r="E57" s="20">
        <v>1982</v>
      </c>
      <c r="F57" s="20">
        <v>1487</v>
      </c>
      <c r="G57" s="43">
        <v>496</v>
      </c>
    </row>
    <row r="58" spans="1:7" x14ac:dyDescent="0.2">
      <c r="A58" s="42" t="s">
        <v>197</v>
      </c>
      <c r="B58" s="20">
        <v>0</v>
      </c>
      <c r="C58" s="20">
        <v>0</v>
      </c>
      <c r="D58" s="20">
        <v>0</v>
      </c>
      <c r="E58" s="20">
        <v>1621</v>
      </c>
      <c r="F58" s="20">
        <v>1216</v>
      </c>
      <c r="G58" s="43">
        <v>405</v>
      </c>
    </row>
    <row r="59" spans="1:7" x14ac:dyDescent="0.2">
      <c r="A59" s="42" t="s">
        <v>198</v>
      </c>
      <c r="B59" s="20">
        <v>0</v>
      </c>
      <c r="C59" s="20">
        <v>0</v>
      </c>
      <c r="D59" s="20">
        <v>0</v>
      </c>
      <c r="E59" s="20">
        <v>707</v>
      </c>
      <c r="F59" s="20">
        <v>530</v>
      </c>
      <c r="G59" s="43">
        <v>177</v>
      </c>
    </row>
    <row r="60" spans="1:7" x14ac:dyDescent="0.2">
      <c r="A60" s="42" t="s">
        <v>199</v>
      </c>
      <c r="B60" s="20">
        <v>0</v>
      </c>
      <c r="C60" s="20">
        <v>0</v>
      </c>
      <c r="D60" s="20">
        <v>0</v>
      </c>
      <c r="E60" s="20">
        <v>124553</v>
      </c>
      <c r="F60" s="20">
        <v>93414</v>
      </c>
      <c r="G60" s="43">
        <v>31138</v>
      </c>
    </row>
    <row r="61" spans="1:7" x14ac:dyDescent="0.2">
      <c r="A61" s="42" t="s">
        <v>200</v>
      </c>
      <c r="B61" s="20">
        <v>0</v>
      </c>
      <c r="C61" s="20">
        <v>0</v>
      </c>
      <c r="D61" s="20">
        <v>0</v>
      </c>
      <c r="E61" s="20">
        <v>0</v>
      </c>
      <c r="F61" s="20">
        <v>0</v>
      </c>
      <c r="G61" s="43">
        <v>0</v>
      </c>
    </row>
    <row r="62" spans="1:7" x14ac:dyDescent="0.2">
      <c r="A62" s="42" t="s">
        <v>201</v>
      </c>
      <c r="B62" s="20">
        <v>0</v>
      </c>
      <c r="C62" s="20">
        <v>0</v>
      </c>
      <c r="D62" s="20">
        <v>0</v>
      </c>
      <c r="E62" s="20">
        <v>5601</v>
      </c>
      <c r="F62" s="20">
        <v>4201</v>
      </c>
      <c r="G62" s="43">
        <v>1400</v>
      </c>
    </row>
    <row r="63" spans="1:7" x14ac:dyDescent="0.2">
      <c r="A63" s="42" t="s">
        <v>202</v>
      </c>
      <c r="B63" s="20">
        <v>0</v>
      </c>
      <c r="C63" s="20">
        <v>0</v>
      </c>
      <c r="D63" s="20">
        <v>0</v>
      </c>
      <c r="E63" s="20">
        <v>9253</v>
      </c>
      <c r="F63" s="20">
        <v>6940</v>
      </c>
      <c r="G63" s="43">
        <v>2313</v>
      </c>
    </row>
    <row r="64" spans="1:7" x14ac:dyDescent="0.2">
      <c r="A64" s="42" t="s">
        <v>203</v>
      </c>
      <c r="B64" s="20">
        <v>0</v>
      </c>
      <c r="C64" s="20">
        <v>0</v>
      </c>
      <c r="D64" s="20">
        <v>0</v>
      </c>
      <c r="E64" s="20">
        <v>0</v>
      </c>
      <c r="F64" s="20">
        <v>0</v>
      </c>
      <c r="G64" s="43">
        <v>0</v>
      </c>
    </row>
    <row r="65" spans="1:7" ht="15" customHeight="1" x14ac:dyDescent="0.2">
      <c r="A65" s="44" t="s">
        <v>204</v>
      </c>
      <c r="B65" s="45">
        <v>0</v>
      </c>
      <c r="C65" s="45">
        <v>0</v>
      </c>
      <c r="D65" s="45">
        <v>0</v>
      </c>
      <c r="E65" s="45">
        <v>7172001</v>
      </c>
      <c r="F65" s="45">
        <v>5379000</v>
      </c>
      <c r="G65" s="51">
        <v>1792996</v>
      </c>
    </row>
    <row r="66" spans="1:7" ht="15" customHeight="1" x14ac:dyDescent="0.2">
      <c r="A66" s="101" t="s">
        <v>205</v>
      </c>
      <c r="B66" s="101"/>
      <c r="C66" s="101"/>
      <c r="D66" s="101"/>
      <c r="E66" s="101"/>
      <c r="F66" s="101"/>
      <c r="G66" s="101"/>
    </row>
    <row r="67" spans="1:7" ht="15" customHeight="1" x14ac:dyDescent="0.2">
      <c r="A67" s="102" t="s">
        <v>573</v>
      </c>
      <c r="B67" s="102"/>
      <c r="C67" s="102"/>
      <c r="D67" s="102"/>
      <c r="E67" s="102"/>
      <c r="F67" s="102"/>
      <c r="G67" s="102"/>
    </row>
    <row r="68" spans="1:7" ht="28.5" customHeight="1" x14ac:dyDescent="0.2">
      <c r="A68" s="102" t="s">
        <v>582</v>
      </c>
      <c r="B68" s="102"/>
      <c r="C68" s="102"/>
      <c r="D68" s="102"/>
      <c r="E68" s="102"/>
      <c r="F68" s="102"/>
      <c r="G68" s="102"/>
    </row>
    <row r="69" spans="1:7" ht="15" customHeight="1" x14ac:dyDescent="0.2">
      <c r="A69" s="102" t="s">
        <v>583</v>
      </c>
      <c r="B69" s="103"/>
      <c r="C69" s="103"/>
      <c r="D69" s="103"/>
      <c r="E69" s="103"/>
      <c r="F69" s="103"/>
      <c r="G69" s="103"/>
    </row>
  </sheetData>
  <mergeCells count="8">
    <mergeCell ref="A68:G68"/>
    <mergeCell ref="A69:G69"/>
    <mergeCell ref="A4:A5"/>
    <mergeCell ref="B4:B5"/>
    <mergeCell ref="F4:F5"/>
    <mergeCell ref="G4:G5"/>
    <mergeCell ref="A66:G66"/>
    <mergeCell ref="A67:G6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292</v>
      </c>
      <c r="B1" s="16"/>
      <c r="C1" s="16"/>
      <c r="D1" s="16"/>
      <c r="E1" s="16"/>
      <c r="F1" s="16"/>
      <c r="G1" s="15" t="s">
        <v>135</v>
      </c>
    </row>
    <row r="2" spans="1:7" x14ac:dyDescent="0.2">
      <c r="A2" s="17" t="s">
        <v>325</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52678</v>
      </c>
      <c r="C6" s="20">
        <v>0</v>
      </c>
      <c r="D6" s="20">
        <v>61240</v>
      </c>
      <c r="E6" s="20">
        <v>0</v>
      </c>
      <c r="F6" s="20">
        <v>61240</v>
      </c>
      <c r="G6" s="43">
        <v>93983</v>
      </c>
    </row>
    <row r="7" spans="1:7" x14ac:dyDescent="0.2">
      <c r="A7" s="42" t="s">
        <v>146</v>
      </c>
      <c r="B7" s="20">
        <v>7400</v>
      </c>
      <c r="C7" s="20">
        <v>0</v>
      </c>
      <c r="D7" s="20">
        <v>8603</v>
      </c>
      <c r="E7" s="20">
        <v>0</v>
      </c>
      <c r="F7" s="20">
        <v>8603</v>
      </c>
      <c r="G7" s="43">
        <v>13202</v>
      </c>
    </row>
    <row r="8" spans="1:7" x14ac:dyDescent="0.2">
      <c r="A8" s="42" t="s">
        <v>147</v>
      </c>
      <c r="B8" s="20">
        <v>81388</v>
      </c>
      <c r="C8" s="20">
        <v>0</v>
      </c>
      <c r="D8" s="20">
        <v>94617</v>
      </c>
      <c r="E8" s="20">
        <v>0</v>
      </c>
      <c r="F8" s="20">
        <v>94617</v>
      </c>
      <c r="G8" s="43">
        <v>145204</v>
      </c>
    </row>
    <row r="9" spans="1:7" x14ac:dyDescent="0.2">
      <c r="A9" s="42" t="s">
        <v>148</v>
      </c>
      <c r="B9" s="20">
        <v>57115</v>
      </c>
      <c r="C9" s="20">
        <v>0</v>
      </c>
      <c r="D9" s="20">
        <v>66399</v>
      </c>
      <c r="E9" s="20">
        <v>0</v>
      </c>
      <c r="F9" s="20">
        <v>66399</v>
      </c>
      <c r="G9" s="43">
        <v>101899</v>
      </c>
    </row>
    <row r="10" spans="1:7" x14ac:dyDescent="0.2">
      <c r="A10" s="42" t="s">
        <v>149</v>
      </c>
      <c r="B10" s="20">
        <v>529174</v>
      </c>
      <c r="C10" s="20">
        <v>0</v>
      </c>
      <c r="D10" s="20">
        <v>615188</v>
      </c>
      <c r="E10" s="20">
        <v>0</v>
      </c>
      <c r="F10" s="20">
        <v>615188</v>
      </c>
      <c r="G10" s="43">
        <v>944099</v>
      </c>
    </row>
    <row r="11" spans="1:7" x14ac:dyDescent="0.2">
      <c r="A11" s="42" t="s">
        <v>150</v>
      </c>
      <c r="B11" s="20">
        <v>25514</v>
      </c>
      <c r="C11" s="20">
        <v>0</v>
      </c>
      <c r="D11" s="20">
        <v>29661</v>
      </c>
      <c r="E11" s="20">
        <v>0</v>
      </c>
      <c r="F11" s="20">
        <v>29661</v>
      </c>
      <c r="G11" s="43">
        <v>45520</v>
      </c>
    </row>
    <row r="12" spans="1:7" x14ac:dyDescent="0.2">
      <c r="A12" s="42" t="s">
        <v>151</v>
      </c>
      <c r="B12" s="20">
        <v>27270</v>
      </c>
      <c r="C12" s="20">
        <v>0</v>
      </c>
      <c r="D12" s="20">
        <v>31703</v>
      </c>
      <c r="E12" s="20">
        <v>0</v>
      </c>
      <c r="F12" s="20">
        <v>31703</v>
      </c>
      <c r="G12" s="43">
        <v>48652</v>
      </c>
    </row>
    <row r="13" spans="1:7" x14ac:dyDescent="0.2">
      <c r="A13" s="42" t="s">
        <v>152</v>
      </c>
      <c r="B13" s="20">
        <v>9487</v>
      </c>
      <c r="C13" s="20">
        <v>0</v>
      </c>
      <c r="D13" s="20">
        <v>11029</v>
      </c>
      <c r="E13" s="20">
        <v>0</v>
      </c>
      <c r="F13" s="20">
        <v>11029</v>
      </c>
      <c r="G13" s="43">
        <v>16926</v>
      </c>
    </row>
    <row r="14" spans="1:7" x14ac:dyDescent="0.2">
      <c r="A14" s="42" t="s">
        <v>153</v>
      </c>
      <c r="B14" s="20">
        <v>6690</v>
      </c>
      <c r="C14" s="20">
        <v>0</v>
      </c>
      <c r="D14" s="20">
        <v>7777</v>
      </c>
      <c r="E14" s="20">
        <v>0</v>
      </c>
      <c r="F14" s="20">
        <v>7777</v>
      </c>
      <c r="G14" s="43">
        <v>11936</v>
      </c>
    </row>
    <row r="15" spans="1:7" x14ac:dyDescent="0.2">
      <c r="A15" s="42" t="s">
        <v>154</v>
      </c>
      <c r="B15" s="20">
        <v>179198</v>
      </c>
      <c r="C15" s="20">
        <v>0</v>
      </c>
      <c r="D15" s="20">
        <v>208326</v>
      </c>
      <c r="E15" s="20">
        <v>0</v>
      </c>
      <c r="F15" s="20">
        <v>208326</v>
      </c>
      <c r="G15" s="43">
        <v>319707</v>
      </c>
    </row>
    <row r="16" spans="1:7" x14ac:dyDescent="0.2">
      <c r="A16" s="42" t="s">
        <v>155</v>
      </c>
      <c r="B16" s="20">
        <v>177785</v>
      </c>
      <c r="C16" s="20">
        <v>0</v>
      </c>
      <c r="D16" s="20">
        <v>206683</v>
      </c>
      <c r="E16" s="20">
        <v>0</v>
      </c>
      <c r="F16" s="20">
        <v>206683</v>
      </c>
      <c r="G16" s="43">
        <v>317186</v>
      </c>
    </row>
    <row r="17" spans="1:7" x14ac:dyDescent="0.2">
      <c r="A17" s="42" t="s">
        <v>156</v>
      </c>
      <c r="B17" s="20">
        <v>7570</v>
      </c>
      <c r="C17" s="20">
        <v>0</v>
      </c>
      <c r="D17" s="20">
        <v>8800</v>
      </c>
      <c r="E17" s="20">
        <v>0</v>
      </c>
      <c r="F17" s="20">
        <v>8800</v>
      </c>
      <c r="G17" s="43">
        <v>13506</v>
      </c>
    </row>
    <row r="18" spans="1:7" x14ac:dyDescent="0.2">
      <c r="A18" s="42" t="s">
        <v>157</v>
      </c>
      <c r="B18" s="20">
        <v>12167</v>
      </c>
      <c r="C18" s="20">
        <v>0</v>
      </c>
      <c r="D18" s="20">
        <v>14145</v>
      </c>
      <c r="E18" s="20">
        <v>0</v>
      </c>
      <c r="F18" s="20">
        <v>14145</v>
      </c>
      <c r="G18" s="43">
        <v>21707</v>
      </c>
    </row>
    <row r="19" spans="1:7" x14ac:dyDescent="0.2">
      <c r="A19" s="42" t="s">
        <v>158</v>
      </c>
      <c r="B19" s="20">
        <v>90927</v>
      </c>
      <c r="C19" s="20">
        <v>0</v>
      </c>
      <c r="D19" s="20">
        <v>105707</v>
      </c>
      <c r="E19" s="20">
        <v>0</v>
      </c>
      <c r="F19" s="20">
        <v>105707</v>
      </c>
      <c r="G19" s="43">
        <v>162223</v>
      </c>
    </row>
    <row r="20" spans="1:7" x14ac:dyDescent="0.2">
      <c r="A20" s="42" t="s">
        <v>159</v>
      </c>
      <c r="B20" s="20">
        <v>60734</v>
      </c>
      <c r="C20" s="20">
        <v>0</v>
      </c>
      <c r="D20" s="20">
        <v>70606</v>
      </c>
      <c r="E20" s="20">
        <v>0</v>
      </c>
      <c r="F20" s="20">
        <v>70606</v>
      </c>
      <c r="G20" s="43">
        <v>108356</v>
      </c>
    </row>
    <row r="21" spans="1:7" x14ac:dyDescent="0.2">
      <c r="A21" s="42" t="s">
        <v>160</v>
      </c>
      <c r="B21" s="20">
        <v>19316</v>
      </c>
      <c r="C21" s="20">
        <v>0</v>
      </c>
      <c r="D21" s="20">
        <v>22456</v>
      </c>
      <c r="E21" s="20">
        <v>0</v>
      </c>
      <c r="F21" s="20">
        <v>22456</v>
      </c>
      <c r="G21" s="43">
        <v>34462</v>
      </c>
    </row>
    <row r="22" spans="1:7" x14ac:dyDescent="0.2">
      <c r="A22" s="42" t="s">
        <v>161</v>
      </c>
      <c r="B22" s="20">
        <v>22929</v>
      </c>
      <c r="C22" s="20">
        <v>0</v>
      </c>
      <c r="D22" s="20">
        <v>26656</v>
      </c>
      <c r="E22" s="20">
        <v>0</v>
      </c>
      <c r="F22" s="20">
        <v>26656</v>
      </c>
      <c r="G22" s="43">
        <v>40908</v>
      </c>
    </row>
    <row r="23" spans="1:7" x14ac:dyDescent="0.2">
      <c r="A23" s="42" t="s">
        <v>162</v>
      </c>
      <c r="B23" s="20">
        <v>62993</v>
      </c>
      <c r="C23" s="20">
        <v>0</v>
      </c>
      <c r="D23" s="20">
        <v>73232</v>
      </c>
      <c r="E23" s="20">
        <v>0</v>
      </c>
      <c r="F23" s="20">
        <v>73232</v>
      </c>
      <c r="G23" s="43">
        <v>112386</v>
      </c>
    </row>
    <row r="24" spans="1:7" x14ac:dyDescent="0.2">
      <c r="A24" s="42" t="s">
        <v>163</v>
      </c>
      <c r="B24" s="20">
        <v>61245</v>
      </c>
      <c r="C24" s="20">
        <v>0</v>
      </c>
      <c r="D24" s="20">
        <v>71200</v>
      </c>
      <c r="E24" s="20">
        <v>0</v>
      </c>
      <c r="F24" s="20">
        <v>71200</v>
      </c>
      <c r="G24" s="43">
        <v>109267</v>
      </c>
    </row>
    <row r="25" spans="1:7" x14ac:dyDescent="0.2">
      <c r="A25" s="42" t="s">
        <v>164</v>
      </c>
      <c r="B25" s="20">
        <v>7197</v>
      </c>
      <c r="C25" s="20">
        <v>0</v>
      </c>
      <c r="D25" s="20">
        <v>8367</v>
      </c>
      <c r="E25" s="20">
        <v>0</v>
      </c>
      <c r="F25" s="20">
        <v>8367</v>
      </c>
      <c r="G25" s="43">
        <v>12840</v>
      </c>
    </row>
    <row r="26" spans="1:7" x14ac:dyDescent="0.2">
      <c r="A26" s="42" t="s">
        <v>165</v>
      </c>
      <c r="B26" s="20">
        <v>41326</v>
      </c>
      <c r="C26" s="20">
        <v>0</v>
      </c>
      <c r="D26" s="20">
        <v>48043</v>
      </c>
      <c r="E26" s="20">
        <v>0</v>
      </c>
      <c r="F26" s="20">
        <v>48043</v>
      </c>
      <c r="G26" s="43">
        <v>73730</v>
      </c>
    </row>
    <row r="27" spans="1:7" x14ac:dyDescent="0.2">
      <c r="A27" s="42" t="s">
        <v>166</v>
      </c>
      <c r="B27" s="20">
        <v>49379</v>
      </c>
      <c r="C27" s="20">
        <v>0</v>
      </c>
      <c r="D27" s="20">
        <v>57405</v>
      </c>
      <c r="E27" s="20">
        <v>0</v>
      </c>
      <c r="F27" s="20">
        <v>57405</v>
      </c>
      <c r="G27" s="43">
        <v>88097</v>
      </c>
    </row>
    <row r="28" spans="1:7" x14ac:dyDescent="0.2">
      <c r="A28" s="42" t="s">
        <v>167</v>
      </c>
      <c r="B28" s="20">
        <v>75275</v>
      </c>
      <c r="C28" s="20">
        <v>0</v>
      </c>
      <c r="D28" s="20">
        <v>87511</v>
      </c>
      <c r="E28" s="20">
        <v>0</v>
      </c>
      <c r="F28" s="20">
        <v>87511</v>
      </c>
      <c r="G28" s="43">
        <v>134298</v>
      </c>
    </row>
    <row r="29" spans="1:7" x14ac:dyDescent="0.2">
      <c r="A29" s="42" t="s">
        <v>168</v>
      </c>
      <c r="B29" s="20">
        <v>32336</v>
      </c>
      <c r="C29" s="20">
        <v>0</v>
      </c>
      <c r="D29" s="20">
        <v>37592</v>
      </c>
      <c r="E29" s="20">
        <v>0</v>
      </c>
      <c r="F29" s="20">
        <v>37592</v>
      </c>
      <c r="G29" s="43">
        <v>57691</v>
      </c>
    </row>
    <row r="30" spans="1:7" x14ac:dyDescent="0.2">
      <c r="A30" s="42" t="s">
        <v>169</v>
      </c>
      <c r="B30" s="20">
        <v>35974</v>
      </c>
      <c r="C30" s="20">
        <v>0</v>
      </c>
      <c r="D30" s="20">
        <v>41821</v>
      </c>
      <c r="E30" s="20">
        <v>0</v>
      </c>
      <c r="F30" s="20">
        <v>41821</v>
      </c>
      <c r="G30" s="43">
        <v>64181</v>
      </c>
    </row>
    <row r="31" spans="1:7" x14ac:dyDescent="0.2">
      <c r="A31" s="42" t="s">
        <v>170</v>
      </c>
      <c r="B31" s="20">
        <v>64272</v>
      </c>
      <c r="C31" s="20">
        <v>0</v>
      </c>
      <c r="D31" s="20">
        <v>74719</v>
      </c>
      <c r="E31" s="20">
        <v>0</v>
      </c>
      <c r="F31" s="20">
        <v>74719</v>
      </c>
      <c r="G31" s="43">
        <v>114668</v>
      </c>
    </row>
    <row r="32" spans="1:7" x14ac:dyDescent="0.2">
      <c r="A32" s="42" t="s">
        <v>171</v>
      </c>
      <c r="B32" s="20">
        <v>7021</v>
      </c>
      <c r="C32" s="20">
        <v>0</v>
      </c>
      <c r="D32" s="20">
        <v>8162</v>
      </c>
      <c r="E32" s="20">
        <v>0</v>
      </c>
      <c r="F32" s="20">
        <v>8162</v>
      </c>
      <c r="G32" s="43">
        <v>12526</v>
      </c>
    </row>
    <row r="33" spans="1:7" x14ac:dyDescent="0.2">
      <c r="A33" s="42" t="s">
        <v>172</v>
      </c>
      <c r="B33" s="20">
        <v>14521</v>
      </c>
      <c r="C33" s="20">
        <v>0</v>
      </c>
      <c r="D33" s="20">
        <v>16881</v>
      </c>
      <c r="E33" s="20">
        <v>0</v>
      </c>
      <c r="F33" s="20">
        <v>16881</v>
      </c>
      <c r="G33" s="43">
        <v>25907</v>
      </c>
    </row>
    <row r="34" spans="1:7" x14ac:dyDescent="0.2">
      <c r="A34" s="42" t="s">
        <v>173</v>
      </c>
      <c r="B34" s="20">
        <v>28543</v>
      </c>
      <c r="C34" s="20">
        <v>0</v>
      </c>
      <c r="D34" s="20">
        <v>33182</v>
      </c>
      <c r="E34" s="20">
        <v>0</v>
      </c>
      <c r="F34" s="20">
        <v>33182</v>
      </c>
      <c r="G34" s="43">
        <v>50924</v>
      </c>
    </row>
    <row r="35" spans="1:7" x14ac:dyDescent="0.2">
      <c r="A35" s="42" t="s">
        <v>174</v>
      </c>
      <c r="B35" s="20">
        <v>7086</v>
      </c>
      <c r="C35" s="20">
        <v>0</v>
      </c>
      <c r="D35" s="20">
        <v>8238</v>
      </c>
      <c r="E35" s="20">
        <v>0</v>
      </c>
      <c r="F35" s="20">
        <v>8238</v>
      </c>
      <c r="G35" s="43">
        <v>12642</v>
      </c>
    </row>
    <row r="36" spans="1:7" x14ac:dyDescent="0.2">
      <c r="A36" s="42" t="s">
        <v>175</v>
      </c>
      <c r="B36" s="20">
        <v>94982</v>
      </c>
      <c r="C36" s="20">
        <v>0</v>
      </c>
      <c r="D36" s="20">
        <v>110421</v>
      </c>
      <c r="E36" s="20">
        <v>0</v>
      </c>
      <c r="F36" s="20">
        <v>110421</v>
      </c>
      <c r="G36" s="43">
        <v>169457</v>
      </c>
    </row>
    <row r="37" spans="1:7" x14ac:dyDescent="0.2">
      <c r="A37" s="42" t="s">
        <v>176</v>
      </c>
      <c r="B37" s="20">
        <v>38888</v>
      </c>
      <c r="C37" s="20">
        <v>0</v>
      </c>
      <c r="D37" s="20">
        <v>45209</v>
      </c>
      <c r="E37" s="20">
        <v>0</v>
      </c>
      <c r="F37" s="20">
        <v>45209</v>
      </c>
      <c r="G37" s="43">
        <v>69380</v>
      </c>
    </row>
    <row r="38" spans="1:7" x14ac:dyDescent="0.2">
      <c r="A38" s="42" t="s">
        <v>177</v>
      </c>
      <c r="B38" s="20">
        <v>213733</v>
      </c>
      <c r="C38" s="20">
        <v>0</v>
      </c>
      <c r="D38" s="20">
        <v>248474</v>
      </c>
      <c r="E38" s="20">
        <v>0</v>
      </c>
      <c r="F38" s="20">
        <v>248474</v>
      </c>
      <c r="G38" s="43">
        <v>381321</v>
      </c>
    </row>
    <row r="39" spans="1:7" x14ac:dyDescent="0.2">
      <c r="A39" s="42" t="s">
        <v>178</v>
      </c>
      <c r="B39" s="20">
        <v>84411</v>
      </c>
      <c r="C39" s="20">
        <v>0</v>
      </c>
      <c r="D39" s="20">
        <v>98132</v>
      </c>
      <c r="E39" s="20">
        <v>0</v>
      </c>
      <c r="F39" s="20">
        <v>98132</v>
      </c>
      <c r="G39" s="43">
        <v>150598</v>
      </c>
    </row>
    <row r="40" spans="1:7" x14ac:dyDescent="0.2">
      <c r="A40" s="42" t="s">
        <v>179</v>
      </c>
      <c r="B40" s="20">
        <v>3860</v>
      </c>
      <c r="C40" s="20">
        <v>0</v>
      </c>
      <c r="D40" s="20">
        <v>4487</v>
      </c>
      <c r="E40" s="20">
        <v>0</v>
      </c>
      <c r="F40" s="20">
        <v>4487</v>
      </c>
      <c r="G40" s="43">
        <v>6887</v>
      </c>
    </row>
    <row r="41" spans="1:7" x14ac:dyDescent="0.2">
      <c r="A41" s="42" t="s">
        <v>180</v>
      </c>
      <c r="B41" s="20">
        <v>113825</v>
      </c>
      <c r="C41" s="20">
        <v>0</v>
      </c>
      <c r="D41" s="20">
        <v>132327</v>
      </c>
      <c r="E41" s="20">
        <v>0</v>
      </c>
      <c r="F41" s="20">
        <v>132327</v>
      </c>
      <c r="G41" s="43">
        <v>203075</v>
      </c>
    </row>
    <row r="42" spans="1:7" x14ac:dyDescent="0.2">
      <c r="A42" s="42" t="s">
        <v>181</v>
      </c>
      <c r="B42" s="20">
        <v>56821</v>
      </c>
      <c r="C42" s="20">
        <v>0</v>
      </c>
      <c r="D42" s="20">
        <v>66057</v>
      </c>
      <c r="E42" s="20">
        <v>0</v>
      </c>
      <c r="F42" s="20">
        <v>66057</v>
      </c>
      <c r="G42" s="43">
        <v>101374</v>
      </c>
    </row>
    <row r="43" spans="1:7" x14ac:dyDescent="0.2">
      <c r="A43" s="42" t="s">
        <v>182</v>
      </c>
      <c r="B43" s="20">
        <v>25884</v>
      </c>
      <c r="C43" s="20">
        <v>0</v>
      </c>
      <c r="D43" s="20">
        <v>30091</v>
      </c>
      <c r="E43" s="20">
        <v>0</v>
      </c>
      <c r="F43" s="20">
        <v>30091</v>
      </c>
      <c r="G43" s="43">
        <v>46180</v>
      </c>
    </row>
    <row r="44" spans="1:7" x14ac:dyDescent="0.2">
      <c r="A44" s="42" t="s">
        <v>183</v>
      </c>
      <c r="B44" s="20">
        <v>119949</v>
      </c>
      <c r="C44" s="20">
        <v>0</v>
      </c>
      <c r="D44" s="20">
        <v>139446</v>
      </c>
      <c r="E44" s="20">
        <v>0</v>
      </c>
      <c r="F44" s="20">
        <v>139446</v>
      </c>
      <c r="G44" s="43">
        <v>214001</v>
      </c>
    </row>
    <row r="45" spans="1:7" x14ac:dyDescent="0.2">
      <c r="A45" s="42" t="s">
        <v>184</v>
      </c>
      <c r="B45" s="20">
        <v>6018</v>
      </c>
      <c r="C45" s="20">
        <v>0</v>
      </c>
      <c r="D45" s="20">
        <v>6996</v>
      </c>
      <c r="E45" s="20">
        <v>0</v>
      </c>
      <c r="F45" s="20">
        <v>6996</v>
      </c>
      <c r="G45" s="43">
        <v>10737</v>
      </c>
    </row>
    <row r="46" spans="1:7" x14ac:dyDescent="0.2">
      <c r="A46" s="42" t="s">
        <v>185</v>
      </c>
      <c r="B46" s="20">
        <v>73778</v>
      </c>
      <c r="C46" s="20">
        <v>0</v>
      </c>
      <c r="D46" s="20">
        <v>85770</v>
      </c>
      <c r="E46" s="20">
        <v>0</v>
      </c>
      <c r="F46" s="20">
        <v>85770</v>
      </c>
      <c r="G46" s="43">
        <v>131627</v>
      </c>
    </row>
    <row r="47" spans="1:7" x14ac:dyDescent="0.2">
      <c r="A47" s="42" t="s">
        <v>186</v>
      </c>
      <c r="B47" s="20">
        <v>9001</v>
      </c>
      <c r="C47" s="20">
        <v>0</v>
      </c>
      <c r="D47" s="20">
        <v>10464</v>
      </c>
      <c r="E47" s="20">
        <v>0</v>
      </c>
      <c r="F47" s="20">
        <v>10464</v>
      </c>
      <c r="G47" s="43">
        <v>16059</v>
      </c>
    </row>
    <row r="48" spans="1:7" x14ac:dyDescent="0.2">
      <c r="A48" s="42" t="s">
        <v>187</v>
      </c>
      <c r="B48" s="20">
        <v>104807</v>
      </c>
      <c r="C48" s="20">
        <v>0</v>
      </c>
      <c r="D48" s="20">
        <v>121843</v>
      </c>
      <c r="E48" s="20">
        <v>0</v>
      </c>
      <c r="F48" s="20">
        <v>121843</v>
      </c>
      <c r="G48" s="43">
        <v>186986</v>
      </c>
    </row>
    <row r="49" spans="1:7" x14ac:dyDescent="0.2">
      <c r="A49" s="42" t="s">
        <v>188</v>
      </c>
      <c r="B49" s="20">
        <v>538933</v>
      </c>
      <c r="C49" s="20">
        <v>0</v>
      </c>
      <c r="D49" s="20">
        <v>626533</v>
      </c>
      <c r="E49" s="20">
        <v>0</v>
      </c>
      <c r="F49" s="20">
        <v>626533</v>
      </c>
      <c r="G49" s="43">
        <v>961510</v>
      </c>
    </row>
    <row r="50" spans="1:7" x14ac:dyDescent="0.2">
      <c r="A50" s="42" t="s">
        <v>189</v>
      </c>
      <c r="B50" s="20">
        <v>32863</v>
      </c>
      <c r="C50" s="20">
        <v>0</v>
      </c>
      <c r="D50" s="20">
        <v>38205</v>
      </c>
      <c r="E50" s="20">
        <v>0</v>
      </c>
      <c r="F50" s="20">
        <v>38205</v>
      </c>
      <c r="G50" s="43">
        <v>58631</v>
      </c>
    </row>
    <row r="51" spans="1:7" x14ac:dyDescent="0.2">
      <c r="A51" s="42" t="s">
        <v>190</v>
      </c>
      <c r="B51" s="20">
        <v>4181</v>
      </c>
      <c r="C51" s="20">
        <v>0</v>
      </c>
      <c r="D51" s="20">
        <v>4861</v>
      </c>
      <c r="E51" s="20">
        <v>0</v>
      </c>
      <c r="F51" s="20">
        <v>4861</v>
      </c>
      <c r="G51" s="43">
        <v>7459</v>
      </c>
    </row>
    <row r="52" spans="1:7" x14ac:dyDescent="0.2">
      <c r="A52" s="42" t="s">
        <v>191</v>
      </c>
      <c r="B52" s="20">
        <v>65471</v>
      </c>
      <c r="C52" s="20">
        <v>0</v>
      </c>
      <c r="D52" s="20">
        <v>76113</v>
      </c>
      <c r="E52" s="20">
        <v>0</v>
      </c>
      <c r="F52" s="20">
        <v>76113</v>
      </c>
      <c r="G52" s="43">
        <v>116807</v>
      </c>
    </row>
    <row r="53" spans="1:7" x14ac:dyDescent="0.2">
      <c r="A53" s="42" t="s">
        <v>192</v>
      </c>
      <c r="B53" s="20">
        <v>38822</v>
      </c>
      <c r="C53" s="20">
        <v>0</v>
      </c>
      <c r="D53" s="20">
        <v>45132</v>
      </c>
      <c r="E53" s="20">
        <v>0</v>
      </c>
      <c r="F53" s="20">
        <v>45132</v>
      </c>
      <c r="G53" s="43">
        <v>69262</v>
      </c>
    </row>
    <row r="54" spans="1:7" x14ac:dyDescent="0.2">
      <c r="A54" s="42" t="s">
        <v>193</v>
      </c>
      <c r="B54" s="20">
        <v>28559</v>
      </c>
      <c r="C54" s="20">
        <v>0</v>
      </c>
      <c r="D54" s="20">
        <v>33201</v>
      </c>
      <c r="E54" s="20">
        <v>0</v>
      </c>
      <c r="F54" s="20">
        <v>33201</v>
      </c>
      <c r="G54" s="43">
        <v>50952</v>
      </c>
    </row>
    <row r="55" spans="1:7" x14ac:dyDescent="0.2">
      <c r="A55" s="42" t="s">
        <v>194</v>
      </c>
      <c r="B55" s="20">
        <v>42947</v>
      </c>
      <c r="C55" s="20">
        <v>0</v>
      </c>
      <c r="D55" s="20">
        <v>49928</v>
      </c>
      <c r="E55" s="20">
        <v>0</v>
      </c>
      <c r="F55" s="20">
        <v>49928</v>
      </c>
      <c r="G55" s="43">
        <v>76622</v>
      </c>
    </row>
    <row r="56" spans="1:7" x14ac:dyDescent="0.2">
      <c r="A56" s="42" t="s">
        <v>195</v>
      </c>
      <c r="B56" s="20">
        <v>2824</v>
      </c>
      <c r="C56" s="20">
        <v>0</v>
      </c>
      <c r="D56" s="20">
        <v>3283</v>
      </c>
      <c r="E56" s="20">
        <v>0</v>
      </c>
      <c r="F56" s="20">
        <v>3283</v>
      </c>
      <c r="G56" s="43">
        <v>5038</v>
      </c>
    </row>
    <row r="57" spans="1:7" x14ac:dyDescent="0.2">
      <c r="A57" s="42" t="s">
        <v>196</v>
      </c>
      <c r="B57" s="20">
        <v>0</v>
      </c>
      <c r="C57" s="20">
        <v>0</v>
      </c>
      <c r="D57" s="20">
        <v>0</v>
      </c>
      <c r="E57" s="20">
        <v>0</v>
      </c>
      <c r="F57" s="20">
        <v>0</v>
      </c>
      <c r="G57" s="43">
        <v>0</v>
      </c>
    </row>
    <row r="58" spans="1:7" x14ac:dyDescent="0.2">
      <c r="A58" s="42" t="s">
        <v>197</v>
      </c>
      <c r="B58" s="20">
        <v>5192</v>
      </c>
      <c r="C58" s="20">
        <v>0</v>
      </c>
      <c r="D58" s="20">
        <v>6036</v>
      </c>
      <c r="E58" s="20">
        <v>0</v>
      </c>
      <c r="F58" s="20">
        <v>6036</v>
      </c>
      <c r="G58" s="43">
        <v>9263</v>
      </c>
    </row>
    <row r="59" spans="1:7" x14ac:dyDescent="0.2">
      <c r="A59" s="42" t="s">
        <v>198</v>
      </c>
      <c r="B59" s="20">
        <v>0</v>
      </c>
      <c r="C59" s="20">
        <v>0</v>
      </c>
      <c r="D59" s="20">
        <v>0</v>
      </c>
      <c r="E59" s="20">
        <v>0</v>
      </c>
      <c r="F59" s="20">
        <v>0</v>
      </c>
      <c r="G59" s="43">
        <v>0</v>
      </c>
    </row>
    <row r="60" spans="1:7" x14ac:dyDescent="0.2">
      <c r="A60" s="42" t="s">
        <v>199</v>
      </c>
      <c r="B60" s="20">
        <v>9889</v>
      </c>
      <c r="C60" s="20">
        <v>0</v>
      </c>
      <c r="D60" s="20">
        <v>11496</v>
      </c>
      <c r="E60" s="20">
        <v>0</v>
      </c>
      <c r="F60" s="20">
        <v>11496</v>
      </c>
      <c r="G60" s="43">
        <v>17643</v>
      </c>
    </row>
    <row r="61" spans="1:7" x14ac:dyDescent="0.2">
      <c r="A61" s="42" t="s">
        <v>200</v>
      </c>
      <c r="B61" s="20">
        <v>0</v>
      </c>
      <c r="C61" s="20">
        <v>0</v>
      </c>
      <c r="D61" s="20">
        <v>0</v>
      </c>
      <c r="E61" s="20">
        <v>0</v>
      </c>
      <c r="F61" s="20">
        <v>0</v>
      </c>
      <c r="G61" s="43">
        <v>0</v>
      </c>
    </row>
    <row r="62" spans="1:7" x14ac:dyDescent="0.2">
      <c r="A62" s="42" t="s">
        <v>201</v>
      </c>
      <c r="B62" s="20">
        <v>470</v>
      </c>
      <c r="C62" s="20">
        <v>0</v>
      </c>
      <c r="D62" s="20">
        <v>546</v>
      </c>
      <c r="E62" s="20">
        <v>0</v>
      </c>
      <c r="F62" s="20">
        <v>546</v>
      </c>
      <c r="G62" s="43">
        <v>839</v>
      </c>
    </row>
    <row r="63" spans="1:7" x14ac:dyDescent="0.2">
      <c r="A63" s="42" t="s">
        <v>202</v>
      </c>
      <c r="B63" s="20">
        <v>0</v>
      </c>
      <c r="C63" s="20">
        <v>0</v>
      </c>
      <c r="D63" s="20">
        <v>0</v>
      </c>
      <c r="E63" s="20">
        <v>0</v>
      </c>
      <c r="F63" s="20">
        <v>0</v>
      </c>
      <c r="G63" s="43">
        <v>0</v>
      </c>
    </row>
    <row r="64" spans="1:7" x14ac:dyDescent="0.2">
      <c r="A64" s="42" t="s">
        <v>203</v>
      </c>
      <c r="B64" s="70" t="s">
        <v>685</v>
      </c>
      <c r="C64" s="20">
        <v>0</v>
      </c>
      <c r="D64" s="20">
        <v>0</v>
      </c>
      <c r="E64" s="20">
        <v>0</v>
      </c>
      <c r="F64" s="20">
        <v>0</v>
      </c>
      <c r="G64" s="43">
        <v>0</v>
      </c>
    </row>
    <row r="65" spans="1:7" ht="15" customHeight="1" x14ac:dyDescent="0.2">
      <c r="A65" s="44" t="s">
        <v>204</v>
      </c>
      <c r="B65" s="45">
        <v>3356000</v>
      </c>
      <c r="C65" s="45">
        <v>0</v>
      </c>
      <c r="D65" s="45">
        <v>4151000</v>
      </c>
      <c r="E65" s="45">
        <v>0</v>
      </c>
      <c r="F65" s="45">
        <v>4151000</v>
      </c>
      <c r="G65" s="51">
        <v>6370341</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ignoredErrors>
    <ignoredError sqref="B64"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66"/>
  <sheetViews>
    <sheetView workbookViewId="0"/>
  </sheetViews>
  <sheetFormatPr defaultRowHeight="12.75" x14ac:dyDescent="0.2"/>
  <cols>
    <col min="1" max="1" width="30.7109375" customWidth="1"/>
    <col min="2" max="7" width="11.7109375" customWidth="1"/>
  </cols>
  <sheetData>
    <row r="1" spans="1:7" ht="38.25" customHeight="1" x14ac:dyDescent="0.2">
      <c r="A1" s="15" t="s">
        <v>292</v>
      </c>
      <c r="B1" s="16"/>
      <c r="C1" s="16"/>
      <c r="D1" s="16"/>
      <c r="E1" s="16"/>
      <c r="F1" s="16"/>
      <c r="G1" s="15" t="s">
        <v>135</v>
      </c>
    </row>
    <row r="2" spans="1:7" x14ac:dyDescent="0.2">
      <c r="A2" s="17" t="s">
        <v>326</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134648</v>
      </c>
      <c r="C6" s="20">
        <v>99977</v>
      </c>
      <c r="D6" s="20">
        <v>70598</v>
      </c>
      <c r="E6" s="20">
        <v>0</v>
      </c>
      <c r="F6" s="20">
        <v>170575</v>
      </c>
      <c r="G6" s="43">
        <v>346001</v>
      </c>
    </row>
    <row r="7" spans="1:7" x14ac:dyDescent="0.2">
      <c r="A7" s="42" t="s">
        <v>146</v>
      </c>
      <c r="B7" s="20">
        <v>20955</v>
      </c>
      <c r="C7" s="20">
        <v>15559</v>
      </c>
      <c r="D7" s="20">
        <v>10987</v>
      </c>
      <c r="E7" s="20">
        <v>0</v>
      </c>
      <c r="F7" s="20">
        <v>26546</v>
      </c>
      <c r="G7" s="43">
        <v>53848</v>
      </c>
    </row>
    <row r="8" spans="1:7" x14ac:dyDescent="0.2">
      <c r="A8" s="42" t="s">
        <v>147</v>
      </c>
      <c r="B8" s="20">
        <v>201564</v>
      </c>
      <c r="C8" s="20">
        <v>149662</v>
      </c>
      <c r="D8" s="20">
        <v>105682</v>
      </c>
      <c r="E8" s="20">
        <v>0</v>
      </c>
      <c r="F8" s="20">
        <v>255344</v>
      </c>
      <c r="G8" s="43">
        <v>517954</v>
      </c>
    </row>
    <row r="9" spans="1:7" x14ac:dyDescent="0.2">
      <c r="A9" s="42" t="s">
        <v>148</v>
      </c>
      <c r="B9" s="20">
        <v>125011</v>
      </c>
      <c r="C9" s="20">
        <v>92821</v>
      </c>
      <c r="D9" s="20">
        <v>65545</v>
      </c>
      <c r="E9" s="20">
        <v>0</v>
      </c>
      <c r="F9" s="20">
        <v>158366</v>
      </c>
      <c r="G9" s="43">
        <v>321238</v>
      </c>
    </row>
    <row r="10" spans="1:7" x14ac:dyDescent="0.2">
      <c r="A10" s="42" t="s">
        <v>149</v>
      </c>
      <c r="B10" s="20">
        <v>1221140</v>
      </c>
      <c r="C10" s="20">
        <v>906704</v>
      </c>
      <c r="D10" s="20">
        <v>640259</v>
      </c>
      <c r="E10" s="20">
        <v>0</v>
      </c>
      <c r="F10" s="20">
        <v>1546963</v>
      </c>
      <c r="G10" s="43">
        <v>3137932</v>
      </c>
    </row>
    <row r="11" spans="1:7" x14ac:dyDescent="0.2">
      <c r="A11" s="42" t="s">
        <v>150</v>
      </c>
      <c r="B11" s="20">
        <v>75423</v>
      </c>
      <c r="C11" s="20">
        <v>56002</v>
      </c>
      <c r="D11" s="20">
        <v>39545</v>
      </c>
      <c r="E11" s="20">
        <v>0</v>
      </c>
      <c r="F11" s="20">
        <v>95547</v>
      </c>
      <c r="G11" s="43">
        <v>193813</v>
      </c>
    </row>
    <row r="12" spans="1:7" x14ac:dyDescent="0.2">
      <c r="A12" s="42" t="s">
        <v>151</v>
      </c>
      <c r="B12" s="20">
        <v>79533</v>
      </c>
      <c r="C12" s="20">
        <v>59054</v>
      </c>
      <c r="D12" s="20">
        <v>41700</v>
      </c>
      <c r="E12" s="20">
        <v>0</v>
      </c>
      <c r="F12" s="20">
        <v>100754</v>
      </c>
      <c r="G12" s="43">
        <v>204374</v>
      </c>
    </row>
    <row r="13" spans="1:7" x14ac:dyDescent="0.2">
      <c r="A13" s="42" t="s">
        <v>152</v>
      </c>
      <c r="B13" s="20">
        <v>24039</v>
      </c>
      <c r="C13" s="20">
        <v>17849</v>
      </c>
      <c r="D13" s="20">
        <v>12604</v>
      </c>
      <c r="E13" s="20">
        <v>0</v>
      </c>
      <c r="F13" s="20">
        <v>30453</v>
      </c>
      <c r="G13" s="43">
        <v>61772</v>
      </c>
    </row>
    <row r="14" spans="1:7" x14ac:dyDescent="0.2">
      <c r="A14" s="42" t="s">
        <v>153</v>
      </c>
      <c r="B14" s="20">
        <v>16595</v>
      </c>
      <c r="C14" s="20">
        <v>12322</v>
      </c>
      <c r="D14" s="20">
        <v>8701</v>
      </c>
      <c r="E14" s="20">
        <v>0</v>
      </c>
      <c r="F14" s="20">
        <v>21023</v>
      </c>
      <c r="G14" s="43">
        <v>42644</v>
      </c>
    </row>
    <row r="15" spans="1:7" x14ac:dyDescent="0.2">
      <c r="A15" s="42" t="s">
        <v>154</v>
      </c>
      <c r="B15" s="20">
        <v>538751</v>
      </c>
      <c r="C15" s="20">
        <v>400026</v>
      </c>
      <c r="D15" s="20">
        <v>282474</v>
      </c>
      <c r="E15" s="20">
        <v>0</v>
      </c>
      <c r="F15" s="20">
        <v>682500</v>
      </c>
      <c r="G15" s="43">
        <v>1384414</v>
      </c>
    </row>
    <row r="16" spans="1:7" x14ac:dyDescent="0.2">
      <c r="A16" s="42" t="s">
        <v>155</v>
      </c>
      <c r="B16" s="20">
        <v>418400</v>
      </c>
      <c r="C16" s="20">
        <v>310665</v>
      </c>
      <c r="D16" s="20">
        <v>219372</v>
      </c>
      <c r="E16" s="20">
        <v>0</v>
      </c>
      <c r="F16" s="20">
        <v>530037</v>
      </c>
      <c r="G16" s="43">
        <v>1075152</v>
      </c>
    </row>
    <row r="17" spans="1:7" x14ac:dyDescent="0.2">
      <c r="A17" s="42" t="s">
        <v>156</v>
      </c>
      <c r="B17" s="20">
        <v>30401</v>
      </c>
      <c r="C17" s="20">
        <v>22573</v>
      </c>
      <c r="D17" s="20">
        <v>15940</v>
      </c>
      <c r="E17" s="20">
        <v>0</v>
      </c>
      <c r="F17" s="20">
        <v>38513</v>
      </c>
      <c r="G17" s="43">
        <v>78121</v>
      </c>
    </row>
    <row r="18" spans="1:7" x14ac:dyDescent="0.2">
      <c r="A18" s="42" t="s">
        <v>157</v>
      </c>
      <c r="B18" s="20">
        <v>36047</v>
      </c>
      <c r="C18" s="20">
        <v>26765</v>
      </c>
      <c r="D18" s="20">
        <v>18900</v>
      </c>
      <c r="E18" s="20">
        <v>0</v>
      </c>
      <c r="F18" s="20">
        <v>45665</v>
      </c>
      <c r="G18" s="43">
        <v>92629</v>
      </c>
    </row>
    <row r="19" spans="1:7" x14ac:dyDescent="0.2">
      <c r="A19" s="42" t="s">
        <v>158</v>
      </c>
      <c r="B19" s="20">
        <v>270727</v>
      </c>
      <c r="C19" s="20">
        <v>201016</v>
      </c>
      <c r="D19" s="20">
        <v>141946</v>
      </c>
      <c r="E19" s="20">
        <v>0</v>
      </c>
      <c r="F19" s="20">
        <v>342962</v>
      </c>
      <c r="G19" s="43">
        <v>695680</v>
      </c>
    </row>
    <row r="20" spans="1:7" x14ac:dyDescent="0.2">
      <c r="A20" s="42" t="s">
        <v>159</v>
      </c>
      <c r="B20" s="20">
        <v>190901</v>
      </c>
      <c r="C20" s="20">
        <v>141745</v>
      </c>
      <c r="D20" s="20">
        <v>100092</v>
      </c>
      <c r="E20" s="20">
        <v>0</v>
      </c>
      <c r="F20" s="20">
        <v>241837</v>
      </c>
      <c r="G20" s="43">
        <v>490553</v>
      </c>
    </row>
    <row r="21" spans="1:7" x14ac:dyDescent="0.2">
      <c r="A21" s="42" t="s">
        <v>160</v>
      </c>
      <c r="B21" s="20">
        <v>76933</v>
      </c>
      <c r="C21" s="20">
        <v>57123</v>
      </c>
      <c r="D21" s="20">
        <v>40337</v>
      </c>
      <c r="E21" s="20">
        <v>0</v>
      </c>
      <c r="F21" s="20">
        <v>97460</v>
      </c>
      <c r="G21" s="43">
        <v>197693</v>
      </c>
    </row>
    <row r="22" spans="1:7" x14ac:dyDescent="0.2">
      <c r="A22" s="42" t="s">
        <v>161</v>
      </c>
      <c r="B22" s="20">
        <v>68614</v>
      </c>
      <c r="C22" s="20">
        <v>50946</v>
      </c>
      <c r="D22" s="20">
        <v>35975</v>
      </c>
      <c r="E22" s="20">
        <v>0</v>
      </c>
      <c r="F22" s="20">
        <v>86921</v>
      </c>
      <c r="G22" s="43">
        <v>176316</v>
      </c>
    </row>
    <row r="23" spans="1:7" x14ac:dyDescent="0.2">
      <c r="A23" s="42" t="s">
        <v>162</v>
      </c>
      <c r="B23" s="20">
        <v>147609</v>
      </c>
      <c r="C23" s="20">
        <v>109601</v>
      </c>
      <c r="D23" s="20">
        <v>77393</v>
      </c>
      <c r="E23" s="20">
        <v>0</v>
      </c>
      <c r="F23" s="20">
        <v>186994</v>
      </c>
      <c r="G23" s="43">
        <v>379307</v>
      </c>
    </row>
    <row r="24" spans="1:7" x14ac:dyDescent="0.2">
      <c r="A24" s="42" t="s">
        <v>163</v>
      </c>
      <c r="B24" s="20">
        <v>159999</v>
      </c>
      <c r="C24" s="20">
        <v>118800</v>
      </c>
      <c r="D24" s="20">
        <v>83889</v>
      </c>
      <c r="E24" s="20">
        <v>0</v>
      </c>
      <c r="F24" s="20">
        <v>202689</v>
      </c>
      <c r="G24" s="43">
        <v>411145</v>
      </c>
    </row>
    <row r="25" spans="1:7" x14ac:dyDescent="0.2">
      <c r="A25" s="42" t="s">
        <v>164</v>
      </c>
      <c r="B25" s="20">
        <v>18186</v>
      </c>
      <c r="C25" s="20">
        <v>13503</v>
      </c>
      <c r="D25" s="20">
        <v>9535</v>
      </c>
      <c r="E25" s="20">
        <v>0</v>
      </c>
      <c r="F25" s="20">
        <v>23038</v>
      </c>
      <c r="G25" s="43">
        <v>46732</v>
      </c>
    </row>
    <row r="26" spans="1:7" x14ac:dyDescent="0.2">
      <c r="A26" s="42" t="s">
        <v>165</v>
      </c>
      <c r="B26" s="20">
        <v>105640</v>
      </c>
      <c r="C26" s="20">
        <v>78438</v>
      </c>
      <c r="D26" s="20">
        <v>55388</v>
      </c>
      <c r="E26" s="20">
        <v>0</v>
      </c>
      <c r="F26" s="20">
        <v>133826</v>
      </c>
      <c r="G26" s="43">
        <v>271460</v>
      </c>
    </row>
    <row r="27" spans="1:7" x14ac:dyDescent="0.2">
      <c r="A27" s="42" t="s">
        <v>166</v>
      </c>
      <c r="B27" s="20">
        <v>129052</v>
      </c>
      <c r="C27" s="20">
        <v>95822</v>
      </c>
      <c r="D27" s="20">
        <v>67664</v>
      </c>
      <c r="E27" s="20">
        <v>0</v>
      </c>
      <c r="F27" s="20">
        <v>163486</v>
      </c>
      <c r="G27" s="43">
        <v>331622</v>
      </c>
    </row>
    <row r="28" spans="1:7" x14ac:dyDescent="0.2">
      <c r="A28" s="42" t="s">
        <v>167</v>
      </c>
      <c r="B28" s="20">
        <v>199176</v>
      </c>
      <c r="C28" s="20">
        <v>147889</v>
      </c>
      <c r="D28" s="20">
        <v>104430</v>
      </c>
      <c r="E28" s="20">
        <v>0</v>
      </c>
      <c r="F28" s="20">
        <v>252319</v>
      </c>
      <c r="G28" s="43">
        <v>511817</v>
      </c>
    </row>
    <row r="29" spans="1:7" x14ac:dyDescent="0.2">
      <c r="A29" s="42" t="s">
        <v>168</v>
      </c>
      <c r="B29" s="20">
        <v>100042</v>
      </c>
      <c r="C29" s="20">
        <v>74282</v>
      </c>
      <c r="D29" s="20">
        <v>52453</v>
      </c>
      <c r="E29" s="20">
        <v>0</v>
      </c>
      <c r="F29" s="20">
        <v>126735</v>
      </c>
      <c r="G29" s="43">
        <v>257075</v>
      </c>
    </row>
    <row r="30" spans="1:7" x14ac:dyDescent="0.2">
      <c r="A30" s="42" t="s">
        <v>169</v>
      </c>
      <c r="B30" s="20">
        <v>96324</v>
      </c>
      <c r="C30" s="20">
        <v>71521</v>
      </c>
      <c r="D30" s="20">
        <v>50504</v>
      </c>
      <c r="E30" s="20">
        <v>0</v>
      </c>
      <c r="F30" s="20">
        <v>122025</v>
      </c>
      <c r="G30" s="43">
        <v>247521</v>
      </c>
    </row>
    <row r="31" spans="1:7" x14ac:dyDescent="0.2">
      <c r="A31" s="42" t="s">
        <v>170</v>
      </c>
      <c r="B31" s="20">
        <v>153784</v>
      </c>
      <c r="C31" s="20">
        <v>114186</v>
      </c>
      <c r="D31" s="20">
        <v>80631</v>
      </c>
      <c r="E31" s="20">
        <v>0</v>
      </c>
      <c r="F31" s="20">
        <v>194817</v>
      </c>
      <c r="G31" s="43">
        <v>395175</v>
      </c>
    </row>
    <row r="32" spans="1:7" x14ac:dyDescent="0.2">
      <c r="A32" s="42" t="s">
        <v>171</v>
      </c>
      <c r="B32" s="20">
        <v>18340</v>
      </c>
      <c r="C32" s="20">
        <v>13618</v>
      </c>
      <c r="D32" s="20">
        <v>9616</v>
      </c>
      <c r="E32" s="20">
        <v>0</v>
      </c>
      <c r="F32" s="20">
        <v>23234</v>
      </c>
      <c r="G32" s="43">
        <v>47128</v>
      </c>
    </row>
    <row r="33" spans="1:7" x14ac:dyDescent="0.2">
      <c r="A33" s="42" t="s">
        <v>172</v>
      </c>
      <c r="B33" s="20">
        <v>55092</v>
      </c>
      <c r="C33" s="20">
        <v>40906</v>
      </c>
      <c r="D33" s="20">
        <v>28885</v>
      </c>
      <c r="E33" s="20">
        <v>0</v>
      </c>
      <c r="F33" s="20">
        <v>69791</v>
      </c>
      <c r="G33" s="43">
        <v>141568</v>
      </c>
    </row>
    <row r="34" spans="1:7" x14ac:dyDescent="0.2">
      <c r="A34" s="42" t="s">
        <v>173</v>
      </c>
      <c r="B34" s="20">
        <v>70959</v>
      </c>
      <c r="C34" s="20">
        <v>52687</v>
      </c>
      <c r="D34" s="20">
        <v>37205</v>
      </c>
      <c r="E34" s="20">
        <v>0</v>
      </c>
      <c r="F34" s="20">
        <v>89892</v>
      </c>
      <c r="G34" s="43">
        <v>182341</v>
      </c>
    </row>
    <row r="35" spans="1:7" x14ac:dyDescent="0.2">
      <c r="A35" s="42" t="s">
        <v>174</v>
      </c>
      <c r="B35" s="20">
        <v>19168</v>
      </c>
      <c r="C35" s="20">
        <v>14232</v>
      </c>
      <c r="D35" s="20">
        <v>10050</v>
      </c>
      <c r="E35" s="20">
        <v>0</v>
      </c>
      <c r="F35" s="20">
        <v>24282</v>
      </c>
      <c r="G35" s="43">
        <v>49256</v>
      </c>
    </row>
    <row r="36" spans="1:7" x14ac:dyDescent="0.2">
      <c r="A36" s="42" t="s">
        <v>175</v>
      </c>
      <c r="B36" s="20">
        <v>229272</v>
      </c>
      <c r="C36" s="20">
        <v>170236</v>
      </c>
      <c r="D36" s="20">
        <v>120210</v>
      </c>
      <c r="E36" s="20">
        <v>0</v>
      </c>
      <c r="F36" s="20">
        <v>290446</v>
      </c>
      <c r="G36" s="43">
        <v>589154</v>
      </c>
    </row>
    <row r="37" spans="1:7" x14ac:dyDescent="0.2">
      <c r="A37" s="42" t="s">
        <v>176</v>
      </c>
      <c r="B37" s="20">
        <v>81483</v>
      </c>
      <c r="C37" s="20">
        <v>60502</v>
      </c>
      <c r="D37" s="20">
        <v>42723</v>
      </c>
      <c r="E37" s="20">
        <v>0</v>
      </c>
      <c r="F37" s="20">
        <v>103225</v>
      </c>
      <c r="G37" s="43">
        <v>209385</v>
      </c>
    </row>
    <row r="38" spans="1:7" x14ac:dyDescent="0.2">
      <c r="A38" s="42" t="s">
        <v>177</v>
      </c>
      <c r="B38" s="20">
        <v>562492</v>
      </c>
      <c r="C38" s="20">
        <v>417654</v>
      </c>
      <c r="D38" s="20">
        <v>294922</v>
      </c>
      <c r="E38" s="20">
        <v>0</v>
      </c>
      <c r="F38" s="20">
        <v>712576</v>
      </c>
      <c r="G38" s="43">
        <v>1445421</v>
      </c>
    </row>
    <row r="39" spans="1:7" x14ac:dyDescent="0.2">
      <c r="A39" s="42" t="s">
        <v>178</v>
      </c>
      <c r="B39" s="20">
        <v>222520</v>
      </c>
      <c r="C39" s="20">
        <v>165222</v>
      </c>
      <c r="D39" s="20">
        <v>116670</v>
      </c>
      <c r="E39" s="20">
        <v>0</v>
      </c>
      <c r="F39" s="20">
        <v>281892</v>
      </c>
      <c r="G39" s="43">
        <v>571804</v>
      </c>
    </row>
    <row r="40" spans="1:7" x14ac:dyDescent="0.2">
      <c r="A40" s="42" t="s">
        <v>179</v>
      </c>
      <c r="B40" s="20">
        <v>13487</v>
      </c>
      <c r="C40" s="20">
        <v>10014</v>
      </c>
      <c r="D40" s="20">
        <v>7071</v>
      </c>
      <c r="E40" s="20">
        <v>0</v>
      </c>
      <c r="F40" s="20">
        <v>17085</v>
      </c>
      <c r="G40" s="43">
        <v>34657</v>
      </c>
    </row>
    <row r="41" spans="1:7" x14ac:dyDescent="0.2">
      <c r="A41" s="42" t="s">
        <v>180</v>
      </c>
      <c r="B41" s="20">
        <v>293015</v>
      </c>
      <c r="C41" s="20">
        <v>217565</v>
      </c>
      <c r="D41" s="20">
        <v>153631</v>
      </c>
      <c r="E41" s="20">
        <v>0</v>
      </c>
      <c r="F41" s="20">
        <v>371196</v>
      </c>
      <c r="G41" s="43">
        <v>752953</v>
      </c>
    </row>
    <row r="42" spans="1:7" x14ac:dyDescent="0.2">
      <c r="A42" s="42" t="s">
        <v>181</v>
      </c>
      <c r="B42" s="20">
        <v>139911</v>
      </c>
      <c r="C42" s="20">
        <v>103885</v>
      </c>
      <c r="D42" s="20">
        <v>73357</v>
      </c>
      <c r="E42" s="20">
        <v>0</v>
      </c>
      <c r="F42" s="20">
        <v>177242</v>
      </c>
      <c r="G42" s="43">
        <v>359526</v>
      </c>
    </row>
    <row r="43" spans="1:7" x14ac:dyDescent="0.2">
      <c r="A43" s="42" t="s">
        <v>182</v>
      </c>
      <c r="B43" s="20">
        <v>70127</v>
      </c>
      <c r="C43" s="20">
        <v>52070</v>
      </c>
      <c r="D43" s="20">
        <v>36768</v>
      </c>
      <c r="E43" s="20">
        <v>0</v>
      </c>
      <c r="F43" s="20">
        <v>88838</v>
      </c>
      <c r="G43" s="43">
        <v>180204</v>
      </c>
    </row>
    <row r="44" spans="1:7" x14ac:dyDescent="0.2">
      <c r="A44" s="42" t="s">
        <v>183</v>
      </c>
      <c r="B44" s="20">
        <v>317067</v>
      </c>
      <c r="C44" s="20">
        <v>235424</v>
      </c>
      <c r="D44" s="20">
        <v>166242</v>
      </c>
      <c r="E44" s="20">
        <v>0</v>
      </c>
      <c r="F44" s="20">
        <v>401666</v>
      </c>
      <c r="G44" s="43">
        <v>814759</v>
      </c>
    </row>
    <row r="45" spans="1:7" x14ac:dyDescent="0.2">
      <c r="A45" s="42" t="s">
        <v>184</v>
      </c>
      <c r="B45" s="20">
        <v>18079</v>
      </c>
      <c r="C45" s="20">
        <v>13424</v>
      </c>
      <c r="D45" s="20">
        <v>9479</v>
      </c>
      <c r="E45" s="20">
        <v>0</v>
      </c>
      <c r="F45" s="20">
        <v>22903</v>
      </c>
      <c r="G45" s="43">
        <v>46457</v>
      </c>
    </row>
    <row r="46" spans="1:7" x14ac:dyDescent="0.2">
      <c r="A46" s="42" t="s">
        <v>185</v>
      </c>
      <c r="B46" s="20">
        <v>171163</v>
      </c>
      <c r="C46" s="20">
        <v>127090</v>
      </c>
      <c r="D46" s="20">
        <v>89743</v>
      </c>
      <c r="E46" s="20">
        <v>0</v>
      </c>
      <c r="F46" s="20">
        <v>216833</v>
      </c>
      <c r="G46" s="43">
        <v>439833</v>
      </c>
    </row>
    <row r="47" spans="1:7" x14ac:dyDescent="0.2">
      <c r="A47" s="42" t="s">
        <v>186</v>
      </c>
      <c r="B47" s="20">
        <v>28672</v>
      </c>
      <c r="C47" s="20">
        <v>21289</v>
      </c>
      <c r="D47" s="20">
        <v>15033</v>
      </c>
      <c r="E47" s="20">
        <v>0</v>
      </c>
      <c r="F47" s="20">
        <v>36322</v>
      </c>
      <c r="G47" s="43">
        <v>73678</v>
      </c>
    </row>
    <row r="48" spans="1:7" x14ac:dyDescent="0.2">
      <c r="A48" s="42" t="s">
        <v>187</v>
      </c>
      <c r="B48" s="20">
        <v>236332</v>
      </c>
      <c r="C48" s="20">
        <v>175478</v>
      </c>
      <c r="D48" s="20">
        <v>123912</v>
      </c>
      <c r="E48" s="20">
        <v>0</v>
      </c>
      <c r="F48" s="20">
        <v>299390</v>
      </c>
      <c r="G48" s="43">
        <v>607296</v>
      </c>
    </row>
    <row r="49" spans="1:7" x14ac:dyDescent="0.2">
      <c r="A49" s="42" t="s">
        <v>188</v>
      </c>
      <c r="B49" s="20">
        <v>1262396</v>
      </c>
      <c r="C49" s="20">
        <v>937337</v>
      </c>
      <c r="D49" s="20">
        <v>661890</v>
      </c>
      <c r="E49" s="20">
        <v>0</v>
      </c>
      <c r="F49" s="20">
        <v>1599227</v>
      </c>
      <c r="G49" s="43">
        <v>3243946</v>
      </c>
    </row>
    <row r="50" spans="1:7" x14ac:dyDescent="0.2">
      <c r="A50" s="42" t="s">
        <v>189</v>
      </c>
      <c r="B50" s="20">
        <v>105348</v>
      </c>
      <c r="C50" s="20">
        <v>78222</v>
      </c>
      <c r="D50" s="20">
        <v>55235</v>
      </c>
      <c r="E50" s="20">
        <v>0</v>
      </c>
      <c r="F50" s="20">
        <v>133457</v>
      </c>
      <c r="G50" s="43">
        <v>270710</v>
      </c>
    </row>
    <row r="51" spans="1:7" x14ac:dyDescent="0.2">
      <c r="A51" s="42" t="s">
        <v>190</v>
      </c>
      <c r="B51" s="20">
        <v>9843</v>
      </c>
      <c r="C51" s="20">
        <v>7308</v>
      </c>
      <c r="D51" s="20">
        <v>5161</v>
      </c>
      <c r="E51" s="20">
        <v>0</v>
      </c>
      <c r="F51" s="20">
        <v>12469</v>
      </c>
      <c r="G51" s="43">
        <v>25293</v>
      </c>
    </row>
    <row r="52" spans="1:7" x14ac:dyDescent="0.2">
      <c r="A52" s="42" t="s">
        <v>191</v>
      </c>
      <c r="B52" s="20">
        <v>164786</v>
      </c>
      <c r="C52" s="20">
        <v>122355</v>
      </c>
      <c r="D52" s="20">
        <v>86399</v>
      </c>
      <c r="E52" s="20">
        <v>0</v>
      </c>
      <c r="F52" s="20">
        <v>208754</v>
      </c>
      <c r="G52" s="43">
        <v>423446</v>
      </c>
    </row>
    <row r="53" spans="1:7" x14ac:dyDescent="0.2">
      <c r="A53" s="42" t="s">
        <v>192</v>
      </c>
      <c r="B53" s="20">
        <v>121556</v>
      </c>
      <c r="C53" s="20">
        <v>90256</v>
      </c>
      <c r="D53" s="20">
        <v>63733</v>
      </c>
      <c r="E53" s="20">
        <v>0</v>
      </c>
      <c r="F53" s="20">
        <v>153989</v>
      </c>
      <c r="G53" s="43">
        <v>312359</v>
      </c>
    </row>
    <row r="54" spans="1:7" x14ac:dyDescent="0.2">
      <c r="A54" s="42" t="s">
        <v>193</v>
      </c>
      <c r="B54" s="20">
        <v>54140</v>
      </c>
      <c r="C54" s="20">
        <v>40199</v>
      </c>
      <c r="D54" s="20">
        <v>28386</v>
      </c>
      <c r="E54" s="20">
        <v>0</v>
      </c>
      <c r="F54" s="20">
        <v>68585</v>
      </c>
      <c r="G54" s="43">
        <v>139122</v>
      </c>
    </row>
    <row r="55" spans="1:7" x14ac:dyDescent="0.2">
      <c r="A55" s="42" t="s">
        <v>194</v>
      </c>
      <c r="B55" s="20">
        <v>128124</v>
      </c>
      <c r="C55" s="20">
        <v>95133</v>
      </c>
      <c r="D55" s="20">
        <v>67177</v>
      </c>
      <c r="E55" s="20">
        <v>0</v>
      </c>
      <c r="F55" s="20">
        <v>162310</v>
      </c>
      <c r="G55" s="43">
        <v>329237</v>
      </c>
    </row>
    <row r="56" spans="1:7" x14ac:dyDescent="0.2">
      <c r="A56" s="42" t="s">
        <v>195</v>
      </c>
      <c r="B56" s="20">
        <v>9142</v>
      </c>
      <c r="C56" s="20">
        <v>6788</v>
      </c>
      <c r="D56" s="20">
        <v>4793</v>
      </c>
      <c r="E56" s="20">
        <v>0</v>
      </c>
      <c r="F56" s="20">
        <v>11581</v>
      </c>
      <c r="G56" s="43">
        <v>23492</v>
      </c>
    </row>
    <row r="57" spans="1:7" x14ac:dyDescent="0.2">
      <c r="A57" s="42" t="s">
        <v>196</v>
      </c>
      <c r="B57" s="20">
        <v>0</v>
      </c>
      <c r="C57" s="20">
        <v>0</v>
      </c>
      <c r="D57" s="20">
        <v>0</v>
      </c>
      <c r="E57" s="20">
        <v>0</v>
      </c>
      <c r="F57" s="20">
        <v>0</v>
      </c>
      <c r="G57" s="43">
        <v>0</v>
      </c>
    </row>
    <row r="58" spans="1:7" x14ac:dyDescent="0.2">
      <c r="A58" s="42" t="s">
        <v>197</v>
      </c>
      <c r="B58" s="20">
        <v>10489</v>
      </c>
      <c r="C58" s="20">
        <v>7788</v>
      </c>
      <c r="D58" s="20">
        <v>5500</v>
      </c>
      <c r="E58" s="20">
        <v>0</v>
      </c>
      <c r="F58" s="20">
        <v>13288</v>
      </c>
      <c r="G58" s="43">
        <v>26953</v>
      </c>
    </row>
    <row r="59" spans="1:7" x14ac:dyDescent="0.2">
      <c r="A59" s="42" t="s">
        <v>198</v>
      </c>
      <c r="B59" s="20">
        <v>0</v>
      </c>
      <c r="C59" s="20">
        <v>0</v>
      </c>
      <c r="D59" s="20">
        <v>0</v>
      </c>
      <c r="E59" s="20">
        <v>0</v>
      </c>
      <c r="F59" s="20">
        <v>0</v>
      </c>
      <c r="G59" s="43">
        <v>0</v>
      </c>
    </row>
    <row r="60" spans="1:7" x14ac:dyDescent="0.2">
      <c r="A60" s="42" t="s">
        <v>199</v>
      </c>
      <c r="B60" s="20">
        <v>45423</v>
      </c>
      <c r="C60" s="20">
        <v>33727</v>
      </c>
      <c r="D60" s="20">
        <v>23816</v>
      </c>
      <c r="E60" s="20">
        <v>0</v>
      </c>
      <c r="F60" s="20">
        <v>57543</v>
      </c>
      <c r="G60" s="43">
        <v>116722</v>
      </c>
    </row>
    <row r="61" spans="1:7" x14ac:dyDescent="0.2">
      <c r="A61" s="42" t="s">
        <v>200</v>
      </c>
      <c r="B61" s="20">
        <v>0</v>
      </c>
      <c r="C61" s="20">
        <v>0</v>
      </c>
      <c r="D61" s="20">
        <v>0</v>
      </c>
      <c r="E61" s="20">
        <v>0</v>
      </c>
      <c r="F61" s="20">
        <v>0</v>
      </c>
      <c r="G61" s="43">
        <v>0</v>
      </c>
    </row>
    <row r="62" spans="1:7" x14ac:dyDescent="0.2">
      <c r="A62" s="42" t="s">
        <v>201</v>
      </c>
      <c r="B62" s="20">
        <v>2243</v>
      </c>
      <c r="C62" s="20">
        <v>1665</v>
      </c>
      <c r="D62" s="20">
        <v>1176</v>
      </c>
      <c r="E62" s="20">
        <v>0</v>
      </c>
      <c r="F62" s="20">
        <v>2841</v>
      </c>
      <c r="G62" s="43">
        <v>5764</v>
      </c>
    </row>
    <row r="63" spans="1:7" x14ac:dyDescent="0.2">
      <c r="A63" s="42" t="s">
        <v>202</v>
      </c>
      <c r="B63" s="20">
        <v>0</v>
      </c>
      <c r="C63" s="20">
        <v>0</v>
      </c>
      <c r="D63" s="20">
        <v>0</v>
      </c>
      <c r="E63" s="20">
        <v>0</v>
      </c>
      <c r="F63" s="20">
        <v>0</v>
      </c>
      <c r="G63" s="43">
        <v>0</v>
      </c>
    </row>
    <row r="64" spans="1:7" x14ac:dyDescent="0.2">
      <c r="A64" s="42" t="s">
        <v>203</v>
      </c>
      <c r="B64" s="20">
        <v>-669163</v>
      </c>
      <c r="C64" s="20">
        <v>0</v>
      </c>
      <c r="D64" s="20">
        <v>0</v>
      </c>
      <c r="E64" s="20">
        <v>0</v>
      </c>
      <c r="F64" s="20">
        <v>0</v>
      </c>
      <c r="G64" s="43">
        <v>0</v>
      </c>
    </row>
    <row r="65" spans="1:7" ht="15" customHeight="1" x14ac:dyDescent="0.2">
      <c r="A65" s="44" t="s">
        <v>204</v>
      </c>
      <c r="B65" s="45">
        <v>8431000</v>
      </c>
      <c r="C65" s="45">
        <v>6756925</v>
      </c>
      <c r="D65" s="45">
        <v>4771327</v>
      </c>
      <c r="E65" s="45">
        <v>0</v>
      </c>
      <c r="F65" s="45">
        <v>11528252</v>
      </c>
      <c r="G65" s="51">
        <v>23384452</v>
      </c>
    </row>
    <row r="66" spans="1:7" ht="15" customHeight="1" x14ac:dyDescent="0.2">
      <c r="A66" s="101" t="s">
        <v>205</v>
      </c>
      <c r="B66" s="101"/>
      <c r="C66" s="101"/>
      <c r="D66" s="101"/>
      <c r="E66" s="101"/>
      <c r="F66" s="101"/>
      <c r="G66" s="101"/>
    </row>
  </sheetData>
  <mergeCells count="5">
    <mergeCell ref="A4:A5"/>
    <mergeCell ref="B4:B5"/>
    <mergeCell ref="F4:F5"/>
    <mergeCell ref="G4:G5"/>
    <mergeCell ref="A66:G6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134</v>
      </c>
      <c r="B1" s="16"/>
      <c r="C1" s="16"/>
      <c r="D1" s="16"/>
      <c r="E1" s="16"/>
      <c r="F1" s="16"/>
      <c r="G1" s="15" t="s">
        <v>206</v>
      </c>
    </row>
    <row r="2" spans="1:7" x14ac:dyDescent="0.2">
      <c r="A2" s="17" t="s">
        <v>327</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100838</v>
      </c>
      <c r="C6" s="20">
        <v>31775</v>
      </c>
      <c r="D6" s="20">
        <v>71976</v>
      </c>
      <c r="E6" s="20">
        <v>8810</v>
      </c>
      <c r="F6" s="20">
        <v>112561</v>
      </c>
      <c r="G6" s="43">
        <v>116445</v>
      </c>
    </row>
    <row r="7" spans="1:7" x14ac:dyDescent="0.2">
      <c r="A7" s="42" t="s">
        <v>146</v>
      </c>
      <c r="B7" s="20">
        <v>20156</v>
      </c>
      <c r="C7" s="20">
        <v>6351</v>
      </c>
      <c r="D7" s="20">
        <v>14387</v>
      </c>
      <c r="E7" s="20">
        <v>1215</v>
      </c>
      <c r="F7" s="20">
        <v>21953</v>
      </c>
      <c r="G7" s="43">
        <v>23276</v>
      </c>
    </row>
    <row r="8" spans="1:7" x14ac:dyDescent="0.2">
      <c r="A8" s="42" t="s">
        <v>147</v>
      </c>
      <c r="B8" s="20">
        <v>110967</v>
      </c>
      <c r="C8" s="20">
        <v>34967</v>
      </c>
      <c r="D8" s="20">
        <v>79206</v>
      </c>
      <c r="E8" s="20">
        <v>10067</v>
      </c>
      <c r="F8" s="20">
        <v>124240</v>
      </c>
      <c r="G8" s="43">
        <v>128142</v>
      </c>
    </row>
    <row r="9" spans="1:7" x14ac:dyDescent="0.2">
      <c r="A9" s="42" t="s">
        <v>148</v>
      </c>
      <c r="B9" s="20">
        <v>62000</v>
      </c>
      <c r="C9" s="20">
        <v>19537</v>
      </c>
      <c r="D9" s="20">
        <v>44254</v>
      </c>
      <c r="E9" s="20">
        <v>4007</v>
      </c>
      <c r="F9" s="20">
        <v>67798</v>
      </c>
      <c r="G9" s="43">
        <v>71596</v>
      </c>
    </row>
    <row r="10" spans="1:7" x14ac:dyDescent="0.2">
      <c r="A10" s="42" t="s">
        <v>149</v>
      </c>
      <c r="B10" s="20">
        <v>921833</v>
      </c>
      <c r="C10" s="20">
        <v>290480</v>
      </c>
      <c r="D10" s="20">
        <v>657987</v>
      </c>
      <c r="E10" s="20">
        <v>74405</v>
      </c>
      <c r="F10" s="20">
        <v>1022872</v>
      </c>
      <c r="G10" s="43">
        <v>1064508</v>
      </c>
    </row>
    <row r="11" spans="1:7" x14ac:dyDescent="0.2">
      <c r="A11" s="42" t="s">
        <v>150</v>
      </c>
      <c r="B11" s="20">
        <v>66953</v>
      </c>
      <c r="C11" s="20">
        <v>21098</v>
      </c>
      <c r="D11" s="20">
        <v>47790</v>
      </c>
      <c r="E11" s="20">
        <v>6325</v>
      </c>
      <c r="F11" s="20">
        <v>75213</v>
      </c>
      <c r="G11" s="43">
        <v>77316</v>
      </c>
    </row>
    <row r="12" spans="1:7" x14ac:dyDescent="0.2">
      <c r="A12" s="42" t="s">
        <v>151</v>
      </c>
      <c r="B12" s="20">
        <v>43059</v>
      </c>
      <c r="C12" s="20">
        <v>13568</v>
      </c>
      <c r="D12" s="20">
        <v>30735</v>
      </c>
      <c r="E12" s="20">
        <v>3326</v>
      </c>
      <c r="F12" s="20">
        <v>47629</v>
      </c>
      <c r="G12" s="43">
        <v>49723</v>
      </c>
    </row>
    <row r="13" spans="1:7" x14ac:dyDescent="0.2">
      <c r="A13" s="42" t="s">
        <v>152</v>
      </c>
      <c r="B13" s="20">
        <v>14466</v>
      </c>
      <c r="C13" s="20">
        <v>4558</v>
      </c>
      <c r="D13" s="20">
        <v>10326</v>
      </c>
      <c r="E13" s="20">
        <v>1263</v>
      </c>
      <c r="F13" s="20">
        <v>16147</v>
      </c>
      <c r="G13" s="43">
        <v>16705</v>
      </c>
    </row>
    <row r="14" spans="1:7" x14ac:dyDescent="0.2">
      <c r="A14" s="42" t="s">
        <v>153</v>
      </c>
      <c r="B14" s="20">
        <v>16478</v>
      </c>
      <c r="C14" s="20">
        <v>5192</v>
      </c>
      <c r="D14" s="20">
        <v>11762</v>
      </c>
      <c r="E14" s="20">
        <v>1037</v>
      </c>
      <c r="F14" s="20">
        <v>17991</v>
      </c>
      <c r="G14" s="43">
        <v>19028</v>
      </c>
    </row>
    <row r="15" spans="1:7" x14ac:dyDescent="0.2">
      <c r="A15" s="42" t="s">
        <v>154</v>
      </c>
      <c r="B15" s="20">
        <v>374122</v>
      </c>
      <c r="C15" s="20">
        <v>117890</v>
      </c>
      <c r="D15" s="20">
        <v>267041</v>
      </c>
      <c r="E15" s="20">
        <v>32436</v>
      </c>
      <c r="F15" s="20">
        <v>417367</v>
      </c>
      <c r="G15" s="43">
        <v>432026</v>
      </c>
    </row>
    <row r="16" spans="1:7" x14ac:dyDescent="0.2">
      <c r="A16" s="42" t="s">
        <v>155</v>
      </c>
      <c r="B16" s="20">
        <v>184332</v>
      </c>
      <c r="C16" s="20">
        <v>58085</v>
      </c>
      <c r="D16" s="20">
        <v>131573</v>
      </c>
      <c r="E16" s="20">
        <v>13894</v>
      </c>
      <c r="F16" s="20">
        <v>203552</v>
      </c>
      <c r="G16" s="43">
        <v>212862</v>
      </c>
    </row>
    <row r="17" spans="1:7" x14ac:dyDescent="0.2">
      <c r="A17" s="42" t="s">
        <v>156</v>
      </c>
      <c r="B17" s="20">
        <v>28492</v>
      </c>
      <c r="C17" s="20">
        <v>8978</v>
      </c>
      <c r="D17" s="20">
        <v>20337</v>
      </c>
      <c r="E17" s="20">
        <v>2081</v>
      </c>
      <c r="F17" s="20">
        <v>31396</v>
      </c>
      <c r="G17" s="43">
        <v>32902</v>
      </c>
    </row>
    <row r="18" spans="1:7" x14ac:dyDescent="0.2">
      <c r="A18" s="42" t="s">
        <v>157</v>
      </c>
      <c r="B18" s="20">
        <v>24529</v>
      </c>
      <c r="C18" s="20">
        <v>7729</v>
      </c>
      <c r="D18" s="20">
        <v>17508</v>
      </c>
      <c r="E18" s="20">
        <v>2425</v>
      </c>
      <c r="F18" s="20">
        <v>27662</v>
      </c>
      <c r="G18" s="43">
        <v>28325</v>
      </c>
    </row>
    <row r="19" spans="1:7" x14ac:dyDescent="0.2">
      <c r="A19" s="42" t="s">
        <v>158</v>
      </c>
      <c r="B19" s="20">
        <v>197848</v>
      </c>
      <c r="C19" s="20">
        <v>62344</v>
      </c>
      <c r="D19" s="20">
        <v>141220</v>
      </c>
      <c r="E19" s="20">
        <v>11732</v>
      </c>
      <c r="F19" s="20">
        <v>215296</v>
      </c>
      <c r="G19" s="43">
        <v>228470</v>
      </c>
    </row>
    <row r="20" spans="1:7" x14ac:dyDescent="0.2">
      <c r="A20" s="42" t="s">
        <v>159</v>
      </c>
      <c r="B20" s="20">
        <v>105498</v>
      </c>
      <c r="C20" s="20">
        <v>33244</v>
      </c>
      <c r="D20" s="20">
        <v>75303</v>
      </c>
      <c r="E20" s="20">
        <v>11645</v>
      </c>
      <c r="F20" s="20">
        <v>120192</v>
      </c>
      <c r="G20" s="43">
        <v>121826</v>
      </c>
    </row>
    <row r="21" spans="1:7" x14ac:dyDescent="0.2">
      <c r="A21" s="42" t="s">
        <v>160</v>
      </c>
      <c r="B21" s="20">
        <v>42257</v>
      </c>
      <c r="C21" s="20">
        <v>13316</v>
      </c>
      <c r="D21" s="20">
        <v>30162</v>
      </c>
      <c r="E21" s="20">
        <v>4725</v>
      </c>
      <c r="F21" s="20">
        <v>48203</v>
      </c>
      <c r="G21" s="43">
        <v>48797</v>
      </c>
    </row>
    <row r="22" spans="1:7" x14ac:dyDescent="0.2">
      <c r="A22" s="42" t="s">
        <v>161</v>
      </c>
      <c r="B22" s="20">
        <v>40760</v>
      </c>
      <c r="C22" s="20">
        <v>12844</v>
      </c>
      <c r="D22" s="20">
        <v>29094</v>
      </c>
      <c r="E22" s="20">
        <v>3629</v>
      </c>
      <c r="F22" s="20">
        <v>45567</v>
      </c>
      <c r="G22" s="43">
        <v>47069</v>
      </c>
    </row>
    <row r="23" spans="1:7" x14ac:dyDescent="0.2">
      <c r="A23" s="42" t="s">
        <v>162</v>
      </c>
      <c r="B23" s="20">
        <v>87612</v>
      </c>
      <c r="C23" s="20">
        <v>27608</v>
      </c>
      <c r="D23" s="20">
        <v>62536</v>
      </c>
      <c r="E23" s="20">
        <v>7747</v>
      </c>
      <c r="F23" s="20">
        <v>97891</v>
      </c>
      <c r="G23" s="43">
        <v>101172</v>
      </c>
    </row>
    <row r="24" spans="1:7" x14ac:dyDescent="0.2">
      <c r="A24" s="42" t="s">
        <v>163</v>
      </c>
      <c r="B24" s="20">
        <v>104600</v>
      </c>
      <c r="C24" s="20">
        <v>32961</v>
      </c>
      <c r="D24" s="20">
        <v>74662</v>
      </c>
      <c r="E24" s="20">
        <v>6502</v>
      </c>
      <c r="F24" s="20">
        <v>114125</v>
      </c>
      <c r="G24" s="43">
        <v>120789</v>
      </c>
    </row>
    <row r="25" spans="1:7" x14ac:dyDescent="0.2">
      <c r="A25" s="42" t="s">
        <v>164</v>
      </c>
      <c r="B25" s="20">
        <v>16079</v>
      </c>
      <c r="C25" s="20">
        <v>5067</v>
      </c>
      <c r="D25" s="20">
        <v>11477</v>
      </c>
      <c r="E25" s="20">
        <v>1312</v>
      </c>
      <c r="F25" s="20">
        <v>17856</v>
      </c>
      <c r="G25" s="43">
        <v>18568</v>
      </c>
    </row>
    <row r="26" spans="1:7" x14ac:dyDescent="0.2">
      <c r="A26" s="42" t="s">
        <v>165</v>
      </c>
      <c r="B26" s="20">
        <v>107050</v>
      </c>
      <c r="C26" s="20">
        <v>33733</v>
      </c>
      <c r="D26" s="20">
        <v>76410</v>
      </c>
      <c r="E26" s="20">
        <v>9696</v>
      </c>
      <c r="F26" s="20">
        <v>119839</v>
      </c>
      <c r="G26" s="43">
        <v>123618</v>
      </c>
    </row>
    <row r="27" spans="1:7" x14ac:dyDescent="0.2">
      <c r="A27" s="42" t="s">
        <v>166</v>
      </c>
      <c r="B27" s="20">
        <v>78925</v>
      </c>
      <c r="C27" s="20">
        <v>24870</v>
      </c>
      <c r="D27" s="20">
        <v>56335</v>
      </c>
      <c r="E27" s="20">
        <v>8771</v>
      </c>
      <c r="F27" s="20">
        <v>89976</v>
      </c>
      <c r="G27" s="43">
        <v>91140</v>
      </c>
    </row>
    <row r="28" spans="1:7" x14ac:dyDescent="0.2">
      <c r="A28" s="42" t="s">
        <v>167</v>
      </c>
      <c r="B28" s="20">
        <v>175060</v>
      </c>
      <c r="C28" s="20">
        <v>55163</v>
      </c>
      <c r="D28" s="20">
        <v>124955</v>
      </c>
      <c r="E28" s="20">
        <v>17039</v>
      </c>
      <c r="F28" s="20">
        <v>197157</v>
      </c>
      <c r="G28" s="43">
        <v>202155</v>
      </c>
    </row>
    <row r="29" spans="1:7" x14ac:dyDescent="0.2">
      <c r="A29" s="42" t="s">
        <v>168</v>
      </c>
      <c r="B29" s="20">
        <v>92279</v>
      </c>
      <c r="C29" s="20">
        <v>29078</v>
      </c>
      <c r="D29" s="20">
        <v>65867</v>
      </c>
      <c r="E29" s="20">
        <v>8186</v>
      </c>
      <c r="F29" s="20">
        <v>103131</v>
      </c>
      <c r="G29" s="43">
        <v>106561</v>
      </c>
    </row>
    <row r="30" spans="1:7" x14ac:dyDescent="0.2">
      <c r="A30" s="42" t="s">
        <v>169</v>
      </c>
      <c r="B30" s="20">
        <v>79006</v>
      </c>
      <c r="C30" s="20">
        <v>24896</v>
      </c>
      <c r="D30" s="20">
        <v>56393</v>
      </c>
      <c r="E30" s="20">
        <v>5655</v>
      </c>
      <c r="F30" s="20">
        <v>86944</v>
      </c>
      <c r="G30" s="43">
        <v>91234</v>
      </c>
    </row>
    <row r="31" spans="1:7" x14ac:dyDescent="0.2">
      <c r="A31" s="42" t="s">
        <v>170</v>
      </c>
      <c r="B31" s="20">
        <v>81819</v>
      </c>
      <c r="C31" s="20">
        <v>25782</v>
      </c>
      <c r="D31" s="20">
        <v>58401</v>
      </c>
      <c r="E31" s="20">
        <v>7154</v>
      </c>
      <c r="F31" s="20">
        <v>91337</v>
      </c>
      <c r="G31" s="43">
        <v>94482</v>
      </c>
    </row>
    <row r="32" spans="1:7" x14ac:dyDescent="0.2">
      <c r="A32" s="42" t="s">
        <v>171</v>
      </c>
      <c r="B32" s="20">
        <v>15085</v>
      </c>
      <c r="C32" s="20">
        <v>4753</v>
      </c>
      <c r="D32" s="20">
        <v>10767</v>
      </c>
      <c r="E32" s="20">
        <v>1177</v>
      </c>
      <c r="F32" s="20">
        <v>16697</v>
      </c>
      <c r="G32" s="43">
        <v>17420</v>
      </c>
    </row>
    <row r="33" spans="1:7" x14ac:dyDescent="0.2">
      <c r="A33" s="42" t="s">
        <v>172</v>
      </c>
      <c r="B33" s="20">
        <v>32767</v>
      </c>
      <c r="C33" s="20">
        <v>10325</v>
      </c>
      <c r="D33" s="20">
        <v>23388</v>
      </c>
      <c r="E33" s="20">
        <v>2689</v>
      </c>
      <c r="F33" s="20">
        <v>36402</v>
      </c>
      <c r="G33" s="43">
        <v>37838</v>
      </c>
    </row>
    <row r="34" spans="1:7" x14ac:dyDescent="0.2">
      <c r="A34" s="42" t="s">
        <v>173</v>
      </c>
      <c r="B34" s="20">
        <v>46356</v>
      </c>
      <c r="C34" s="20">
        <v>14607</v>
      </c>
      <c r="D34" s="20">
        <v>33088</v>
      </c>
      <c r="E34" s="20">
        <v>4581</v>
      </c>
      <c r="F34" s="20">
        <v>52276</v>
      </c>
      <c r="G34" s="43">
        <v>53531</v>
      </c>
    </row>
    <row r="35" spans="1:7" x14ac:dyDescent="0.2">
      <c r="A35" s="42" t="s">
        <v>174</v>
      </c>
      <c r="B35" s="20">
        <v>9739</v>
      </c>
      <c r="C35" s="20">
        <v>3069</v>
      </c>
      <c r="D35" s="20">
        <v>6952</v>
      </c>
      <c r="E35" s="20">
        <v>1081</v>
      </c>
      <c r="F35" s="20">
        <v>11102</v>
      </c>
      <c r="G35" s="43">
        <v>11246</v>
      </c>
    </row>
    <row r="36" spans="1:7" x14ac:dyDescent="0.2">
      <c r="A36" s="42" t="s">
        <v>175</v>
      </c>
      <c r="B36" s="20">
        <v>143945</v>
      </c>
      <c r="C36" s="20">
        <v>45359</v>
      </c>
      <c r="D36" s="20">
        <v>102745</v>
      </c>
      <c r="E36" s="20">
        <v>10594</v>
      </c>
      <c r="F36" s="20">
        <v>158698</v>
      </c>
      <c r="G36" s="43">
        <v>166224</v>
      </c>
    </row>
    <row r="37" spans="1:7" x14ac:dyDescent="0.2">
      <c r="A37" s="42" t="s">
        <v>176</v>
      </c>
      <c r="B37" s="20">
        <v>38264</v>
      </c>
      <c r="C37" s="20">
        <v>12057</v>
      </c>
      <c r="D37" s="20">
        <v>27312</v>
      </c>
      <c r="E37" s="20">
        <v>2911</v>
      </c>
      <c r="F37" s="20">
        <v>42280</v>
      </c>
      <c r="G37" s="43">
        <v>44186</v>
      </c>
    </row>
    <row r="38" spans="1:7" x14ac:dyDescent="0.2">
      <c r="A38" s="42" t="s">
        <v>177</v>
      </c>
      <c r="B38" s="20">
        <v>435847</v>
      </c>
      <c r="C38" s="20">
        <v>137341</v>
      </c>
      <c r="D38" s="20">
        <v>311099</v>
      </c>
      <c r="E38" s="20">
        <v>28737</v>
      </c>
      <c r="F38" s="20">
        <v>477177</v>
      </c>
      <c r="G38" s="43">
        <v>503305</v>
      </c>
    </row>
    <row r="39" spans="1:7" x14ac:dyDescent="0.2">
      <c r="A39" s="42" t="s">
        <v>178</v>
      </c>
      <c r="B39" s="20">
        <v>182907</v>
      </c>
      <c r="C39" s="20">
        <v>57636</v>
      </c>
      <c r="D39" s="20">
        <v>130556</v>
      </c>
      <c r="E39" s="20">
        <v>18824</v>
      </c>
      <c r="F39" s="20">
        <v>207016</v>
      </c>
      <c r="G39" s="43">
        <v>211216</v>
      </c>
    </row>
    <row r="40" spans="1:7" x14ac:dyDescent="0.2">
      <c r="A40" s="42" t="s">
        <v>179</v>
      </c>
      <c r="B40" s="20">
        <v>12678</v>
      </c>
      <c r="C40" s="20">
        <v>3995</v>
      </c>
      <c r="D40" s="20">
        <v>9049</v>
      </c>
      <c r="E40" s="20">
        <v>805</v>
      </c>
      <c r="F40" s="20">
        <v>13849</v>
      </c>
      <c r="G40" s="43">
        <v>14640</v>
      </c>
    </row>
    <row r="41" spans="1:7" x14ac:dyDescent="0.2">
      <c r="A41" s="42" t="s">
        <v>180</v>
      </c>
      <c r="B41" s="20">
        <v>143328</v>
      </c>
      <c r="C41" s="20">
        <v>45164</v>
      </c>
      <c r="D41" s="20">
        <v>102305</v>
      </c>
      <c r="E41" s="20">
        <v>12292</v>
      </c>
      <c r="F41" s="20">
        <v>159761</v>
      </c>
      <c r="G41" s="43">
        <v>165511</v>
      </c>
    </row>
    <row r="42" spans="1:7" x14ac:dyDescent="0.2">
      <c r="A42" s="42" t="s">
        <v>181</v>
      </c>
      <c r="B42" s="20">
        <v>53911</v>
      </c>
      <c r="C42" s="20">
        <v>16988</v>
      </c>
      <c r="D42" s="20">
        <v>38481</v>
      </c>
      <c r="E42" s="20">
        <v>5020</v>
      </c>
      <c r="F42" s="20">
        <v>60489</v>
      </c>
      <c r="G42" s="43">
        <v>62255</v>
      </c>
    </row>
    <row r="43" spans="1:7" x14ac:dyDescent="0.2">
      <c r="A43" s="42" t="s">
        <v>182</v>
      </c>
      <c r="B43" s="20">
        <v>66634</v>
      </c>
      <c r="C43" s="20">
        <v>20997</v>
      </c>
      <c r="D43" s="20">
        <v>47562</v>
      </c>
      <c r="E43" s="20">
        <v>6448</v>
      </c>
      <c r="F43" s="20">
        <v>75007</v>
      </c>
      <c r="G43" s="43">
        <v>76947</v>
      </c>
    </row>
    <row r="44" spans="1:7" x14ac:dyDescent="0.2">
      <c r="A44" s="42" t="s">
        <v>183</v>
      </c>
      <c r="B44" s="20">
        <v>182491</v>
      </c>
      <c r="C44" s="20">
        <v>57505</v>
      </c>
      <c r="D44" s="20">
        <v>130259</v>
      </c>
      <c r="E44" s="20">
        <v>14382</v>
      </c>
      <c r="F44" s="20">
        <v>202146</v>
      </c>
      <c r="G44" s="43">
        <v>210736</v>
      </c>
    </row>
    <row r="45" spans="1:7" x14ac:dyDescent="0.2">
      <c r="A45" s="42" t="s">
        <v>184</v>
      </c>
      <c r="B45" s="20">
        <v>18378</v>
      </c>
      <c r="C45" s="20">
        <v>5791</v>
      </c>
      <c r="D45" s="20">
        <v>13118</v>
      </c>
      <c r="E45" s="20">
        <v>1297</v>
      </c>
      <c r="F45" s="20">
        <v>20206</v>
      </c>
      <c r="G45" s="43">
        <v>21222</v>
      </c>
    </row>
    <row r="46" spans="1:7" x14ac:dyDescent="0.2">
      <c r="A46" s="42" t="s">
        <v>185</v>
      </c>
      <c r="B46" s="20">
        <v>82336</v>
      </c>
      <c r="C46" s="20">
        <v>25945</v>
      </c>
      <c r="D46" s="20">
        <v>58770</v>
      </c>
      <c r="E46" s="20">
        <v>6034</v>
      </c>
      <c r="F46" s="20">
        <v>90749</v>
      </c>
      <c r="G46" s="43">
        <v>95079</v>
      </c>
    </row>
    <row r="47" spans="1:7" x14ac:dyDescent="0.2">
      <c r="A47" s="42" t="s">
        <v>186</v>
      </c>
      <c r="B47" s="20">
        <v>17595</v>
      </c>
      <c r="C47" s="20">
        <v>5544</v>
      </c>
      <c r="D47" s="20">
        <v>12559</v>
      </c>
      <c r="E47" s="20">
        <v>1106</v>
      </c>
      <c r="F47" s="20">
        <v>19209</v>
      </c>
      <c r="G47" s="43">
        <v>20318</v>
      </c>
    </row>
    <row r="48" spans="1:7" x14ac:dyDescent="0.2">
      <c r="A48" s="42" t="s">
        <v>187</v>
      </c>
      <c r="B48" s="20">
        <v>109631</v>
      </c>
      <c r="C48" s="20">
        <v>34546</v>
      </c>
      <c r="D48" s="20">
        <v>78253</v>
      </c>
      <c r="E48" s="20">
        <v>8176</v>
      </c>
      <c r="F48" s="20">
        <v>120975</v>
      </c>
      <c r="G48" s="43">
        <v>126599</v>
      </c>
    </row>
    <row r="49" spans="1:7" x14ac:dyDescent="0.2">
      <c r="A49" s="42" t="s">
        <v>188</v>
      </c>
      <c r="B49" s="20">
        <v>491978</v>
      </c>
      <c r="C49" s="20">
        <v>155028</v>
      </c>
      <c r="D49" s="20">
        <v>351165</v>
      </c>
      <c r="E49" s="20">
        <v>51779</v>
      </c>
      <c r="F49" s="20">
        <v>557972</v>
      </c>
      <c r="G49" s="43">
        <v>568123</v>
      </c>
    </row>
    <row r="50" spans="1:7" x14ac:dyDescent="0.2">
      <c r="A50" s="42" t="s">
        <v>189</v>
      </c>
      <c r="B50" s="20">
        <v>39947</v>
      </c>
      <c r="C50" s="20">
        <v>12588</v>
      </c>
      <c r="D50" s="20">
        <v>28513</v>
      </c>
      <c r="E50" s="20">
        <v>3170</v>
      </c>
      <c r="F50" s="20">
        <v>44271</v>
      </c>
      <c r="G50" s="43">
        <v>46130</v>
      </c>
    </row>
    <row r="51" spans="1:7" x14ac:dyDescent="0.2">
      <c r="A51" s="42" t="s">
        <v>190</v>
      </c>
      <c r="B51" s="20">
        <v>12578</v>
      </c>
      <c r="C51" s="20">
        <v>3963</v>
      </c>
      <c r="D51" s="20">
        <v>8978</v>
      </c>
      <c r="E51" s="20">
        <v>962</v>
      </c>
      <c r="F51" s="20">
        <v>13903</v>
      </c>
      <c r="G51" s="43">
        <v>14525</v>
      </c>
    </row>
    <row r="52" spans="1:7" x14ac:dyDescent="0.2">
      <c r="A52" s="42" t="s">
        <v>191</v>
      </c>
      <c r="B52" s="20">
        <v>101963</v>
      </c>
      <c r="C52" s="20">
        <v>32130</v>
      </c>
      <c r="D52" s="20">
        <v>72779</v>
      </c>
      <c r="E52" s="20">
        <v>8911</v>
      </c>
      <c r="F52" s="20">
        <v>113820</v>
      </c>
      <c r="G52" s="43">
        <v>117744</v>
      </c>
    </row>
    <row r="53" spans="1:7" x14ac:dyDescent="0.2">
      <c r="A53" s="42" t="s">
        <v>192</v>
      </c>
      <c r="B53" s="20">
        <v>126222</v>
      </c>
      <c r="C53" s="20">
        <v>39774</v>
      </c>
      <c r="D53" s="20">
        <v>90095</v>
      </c>
      <c r="E53" s="20">
        <v>10152</v>
      </c>
      <c r="F53" s="20">
        <v>140021</v>
      </c>
      <c r="G53" s="43">
        <v>145758</v>
      </c>
    </row>
    <row r="54" spans="1:7" x14ac:dyDescent="0.2">
      <c r="A54" s="42" t="s">
        <v>193</v>
      </c>
      <c r="B54" s="20">
        <v>34160</v>
      </c>
      <c r="C54" s="20">
        <v>10764</v>
      </c>
      <c r="D54" s="20">
        <v>24383</v>
      </c>
      <c r="E54" s="20">
        <v>2607</v>
      </c>
      <c r="F54" s="20">
        <v>37754</v>
      </c>
      <c r="G54" s="43">
        <v>39447</v>
      </c>
    </row>
    <row r="55" spans="1:7" x14ac:dyDescent="0.2">
      <c r="A55" s="42" t="s">
        <v>194</v>
      </c>
      <c r="B55" s="20">
        <v>79905</v>
      </c>
      <c r="C55" s="20">
        <v>25179</v>
      </c>
      <c r="D55" s="20">
        <v>57035</v>
      </c>
      <c r="E55" s="20">
        <v>6958</v>
      </c>
      <c r="F55" s="20">
        <v>89172</v>
      </c>
      <c r="G55" s="43">
        <v>92272</v>
      </c>
    </row>
    <row r="56" spans="1:7" x14ac:dyDescent="0.2">
      <c r="A56" s="42" t="s">
        <v>195</v>
      </c>
      <c r="B56" s="20">
        <v>8013</v>
      </c>
      <c r="C56" s="20">
        <v>2525</v>
      </c>
      <c r="D56" s="20">
        <v>5720</v>
      </c>
      <c r="E56" s="20">
        <v>569</v>
      </c>
      <c r="F56" s="20">
        <v>8814</v>
      </c>
      <c r="G56" s="43">
        <v>9253</v>
      </c>
    </row>
    <row r="57" spans="1:7" x14ac:dyDescent="0.2">
      <c r="A57" s="42" t="s">
        <v>196</v>
      </c>
      <c r="B57" s="20">
        <v>6817</v>
      </c>
      <c r="C57" s="20">
        <v>2148</v>
      </c>
      <c r="D57" s="20">
        <v>4866</v>
      </c>
      <c r="E57" s="20">
        <v>404</v>
      </c>
      <c r="F57" s="20">
        <v>7418</v>
      </c>
      <c r="G57" s="43">
        <v>7872</v>
      </c>
    </row>
    <row r="58" spans="1:7" x14ac:dyDescent="0.2">
      <c r="A58" s="42" t="s">
        <v>197</v>
      </c>
      <c r="B58" s="20">
        <v>9772</v>
      </c>
      <c r="C58" s="20">
        <v>3079</v>
      </c>
      <c r="D58" s="20">
        <v>6975</v>
      </c>
      <c r="E58" s="20">
        <v>488</v>
      </c>
      <c r="F58" s="20">
        <v>10542</v>
      </c>
      <c r="G58" s="43">
        <v>11284</v>
      </c>
    </row>
    <row r="59" spans="1:7" x14ac:dyDescent="0.2">
      <c r="A59" s="42" t="s">
        <v>198</v>
      </c>
      <c r="B59" s="20">
        <v>4371</v>
      </c>
      <c r="C59" s="20">
        <v>1377</v>
      </c>
      <c r="D59" s="20">
        <v>3120</v>
      </c>
      <c r="E59" s="20">
        <v>272</v>
      </c>
      <c r="F59" s="20">
        <v>4769</v>
      </c>
      <c r="G59" s="43">
        <v>5048</v>
      </c>
    </row>
    <row r="60" spans="1:7" x14ac:dyDescent="0.2">
      <c r="A60" s="42" t="s">
        <v>199</v>
      </c>
      <c r="B60" s="20">
        <v>192603</v>
      </c>
      <c r="C60" s="20">
        <v>60691</v>
      </c>
      <c r="D60" s="20">
        <v>137476</v>
      </c>
      <c r="E60" s="20">
        <v>8481</v>
      </c>
      <c r="F60" s="20">
        <v>206648</v>
      </c>
      <c r="G60" s="43">
        <v>222413</v>
      </c>
    </row>
    <row r="61" spans="1:7" x14ac:dyDescent="0.2">
      <c r="A61" s="42" t="s">
        <v>200</v>
      </c>
      <c r="B61" s="20">
        <v>0</v>
      </c>
      <c r="C61" s="20">
        <v>0</v>
      </c>
      <c r="D61" s="20">
        <v>0</v>
      </c>
      <c r="E61" s="20">
        <v>0</v>
      </c>
      <c r="F61" s="20">
        <v>0</v>
      </c>
      <c r="G61" s="43">
        <v>0</v>
      </c>
    </row>
    <row r="62" spans="1:7" x14ac:dyDescent="0.2">
      <c r="A62" s="42" t="s">
        <v>201</v>
      </c>
      <c r="B62" s="20">
        <v>5675</v>
      </c>
      <c r="C62" s="20">
        <v>1788</v>
      </c>
      <c r="D62" s="20">
        <v>4051</v>
      </c>
      <c r="E62" s="20">
        <v>228</v>
      </c>
      <c r="F62" s="20">
        <v>6067</v>
      </c>
      <c r="G62" s="43">
        <v>6553</v>
      </c>
    </row>
    <row r="63" spans="1:7" x14ac:dyDescent="0.2">
      <c r="A63" s="42" t="s">
        <v>202</v>
      </c>
      <c r="B63" s="20">
        <v>67173</v>
      </c>
      <c r="C63" s="20">
        <v>21167</v>
      </c>
      <c r="D63" s="20">
        <v>47947</v>
      </c>
      <c r="E63" s="20">
        <v>3762</v>
      </c>
      <c r="F63" s="20">
        <v>72876</v>
      </c>
      <c r="G63" s="43">
        <v>77570</v>
      </c>
    </row>
    <row r="64" spans="1:7" x14ac:dyDescent="0.2">
      <c r="A64" s="42" t="s">
        <v>203</v>
      </c>
      <c r="B64" s="20">
        <v>8791</v>
      </c>
      <c r="C64" s="20">
        <v>0</v>
      </c>
      <c r="D64" s="20">
        <v>0</v>
      </c>
      <c r="E64" s="20">
        <v>19</v>
      </c>
      <c r="F64" s="20">
        <v>19</v>
      </c>
      <c r="G64" s="43">
        <v>0</v>
      </c>
    </row>
    <row r="65" spans="1:7" ht="15" customHeight="1" x14ac:dyDescent="0.2">
      <c r="A65" s="44" t="s">
        <v>204</v>
      </c>
      <c r="B65" s="45">
        <v>5958878</v>
      </c>
      <c r="C65" s="45">
        <v>1874937</v>
      </c>
      <c r="D65" s="45">
        <v>4247063</v>
      </c>
      <c r="E65" s="45">
        <v>490000</v>
      </c>
      <c r="F65" s="45">
        <v>6612000</v>
      </c>
      <c r="G65" s="51">
        <v>6871000</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292</v>
      </c>
      <c r="B1" s="16"/>
      <c r="C1" s="16"/>
      <c r="D1" s="16"/>
      <c r="E1" s="16"/>
      <c r="F1" s="16"/>
      <c r="G1" s="15" t="s">
        <v>135</v>
      </c>
    </row>
    <row r="2" spans="1:7" x14ac:dyDescent="0.2">
      <c r="A2" s="17" t="s">
        <v>328</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46843</v>
      </c>
      <c r="C6" s="20">
        <v>0</v>
      </c>
      <c r="D6" s="20">
        <v>55372</v>
      </c>
      <c r="E6" s="20">
        <v>1134</v>
      </c>
      <c r="F6" s="20">
        <v>56506</v>
      </c>
      <c r="G6" s="43">
        <v>72245</v>
      </c>
    </row>
    <row r="7" spans="1:7" x14ac:dyDescent="0.2">
      <c r="A7" s="42" t="s">
        <v>146</v>
      </c>
      <c r="B7" s="20">
        <v>6913</v>
      </c>
      <c r="C7" s="20">
        <v>0</v>
      </c>
      <c r="D7" s="20">
        <v>8172</v>
      </c>
      <c r="E7" s="20">
        <v>167</v>
      </c>
      <c r="F7" s="20">
        <v>8339</v>
      </c>
      <c r="G7" s="43">
        <v>10662</v>
      </c>
    </row>
    <row r="8" spans="1:7" x14ac:dyDescent="0.2">
      <c r="A8" s="42" t="s">
        <v>147</v>
      </c>
      <c r="B8" s="20">
        <v>47827</v>
      </c>
      <c r="C8" s="20">
        <v>0</v>
      </c>
      <c r="D8" s="20">
        <v>56535</v>
      </c>
      <c r="E8" s="20">
        <v>1157</v>
      </c>
      <c r="F8" s="20">
        <v>57692</v>
      </c>
      <c r="G8" s="43">
        <v>73763</v>
      </c>
    </row>
    <row r="9" spans="1:7" x14ac:dyDescent="0.2">
      <c r="A9" s="42" t="s">
        <v>148</v>
      </c>
      <c r="B9" s="20">
        <v>41047</v>
      </c>
      <c r="C9" s="20">
        <v>0</v>
      </c>
      <c r="D9" s="20">
        <v>48521</v>
      </c>
      <c r="E9" s="20">
        <v>993</v>
      </c>
      <c r="F9" s="20">
        <v>49514</v>
      </c>
      <c r="G9" s="43">
        <v>63307</v>
      </c>
    </row>
    <row r="10" spans="1:7" x14ac:dyDescent="0.2">
      <c r="A10" s="42" t="s">
        <v>149</v>
      </c>
      <c r="B10" s="20">
        <v>398776</v>
      </c>
      <c r="C10" s="20">
        <v>0</v>
      </c>
      <c r="D10" s="20">
        <v>471385</v>
      </c>
      <c r="E10" s="20">
        <v>9651</v>
      </c>
      <c r="F10" s="20">
        <v>481036</v>
      </c>
      <c r="G10" s="43">
        <v>615030</v>
      </c>
    </row>
    <row r="11" spans="1:7" x14ac:dyDescent="0.2">
      <c r="A11" s="42" t="s">
        <v>150</v>
      </c>
      <c r="B11" s="20">
        <v>22899</v>
      </c>
      <c r="C11" s="20">
        <v>0</v>
      </c>
      <c r="D11" s="20">
        <v>27068</v>
      </c>
      <c r="E11" s="20">
        <v>554</v>
      </c>
      <c r="F11" s="20">
        <v>27622</v>
      </c>
      <c r="G11" s="43">
        <v>35317</v>
      </c>
    </row>
    <row r="12" spans="1:7" x14ac:dyDescent="0.2">
      <c r="A12" s="42" t="s">
        <v>151</v>
      </c>
      <c r="B12" s="20">
        <v>16212</v>
      </c>
      <c r="C12" s="20">
        <v>0</v>
      </c>
      <c r="D12" s="20">
        <v>19164</v>
      </c>
      <c r="E12" s="20">
        <v>392</v>
      </c>
      <c r="F12" s="20">
        <v>19556</v>
      </c>
      <c r="G12" s="43">
        <v>25004</v>
      </c>
    </row>
    <row r="13" spans="1:7" x14ac:dyDescent="0.2">
      <c r="A13" s="42" t="s">
        <v>152</v>
      </c>
      <c r="B13" s="20">
        <v>13952</v>
      </c>
      <c r="C13" s="20">
        <v>0</v>
      </c>
      <c r="D13" s="20">
        <v>16492</v>
      </c>
      <c r="E13" s="20">
        <v>338</v>
      </c>
      <c r="F13" s="20">
        <v>16830</v>
      </c>
      <c r="G13" s="43">
        <v>21518</v>
      </c>
    </row>
    <row r="14" spans="1:7" x14ac:dyDescent="0.2">
      <c r="A14" s="42" t="s">
        <v>153</v>
      </c>
      <c r="B14" s="20">
        <v>5946</v>
      </c>
      <c r="C14" s="20">
        <v>0</v>
      </c>
      <c r="D14" s="20">
        <v>7029</v>
      </c>
      <c r="E14" s="20">
        <v>144</v>
      </c>
      <c r="F14" s="20">
        <v>7173</v>
      </c>
      <c r="G14" s="43">
        <v>9170</v>
      </c>
    </row>
    <row r="15" spans="1:7" x14ac:dyDescent="0.2">
      <c r="A15" s="42" t="s">
        <v>154</v>
      </c>
      <c r="B15" s="20">
        <v>227836</v>
      </c>
      <c r="C15" s="20">
        <v>0</v>
      </c>
      <c r="D15" s="20">
        <v>269320</v>
      </c>
      <c r="E15" s="20">
        <v>5514</v>
      </c>
      <c r="F15" s="20">
        <v>274834</v>
      </c>
      <c r="G15" s="43">
        <v>351390</v>
      </c>
    </row>
    <row r="16" spans="1:7" x14ac:dyDescent="0.2">
      <c r="A16" s="42" t="s">
        <v>155</v>
      </c>
      <c r="B16" s="20">
        <v>99090</v>
      </c>
      <c r="C16" s="20">
        <v>0</v>
      </c>
      <c r="D16" s="20">
        <v>117132</v>
      </c>
      <c r="E16" s="20">
        <v>2398</v>
      </c>
      <c r="F16" s="20">
        <v>119530</v>
      </c>
      <c r="G16" s="43">
        <v>152826</v>
      </c>
    </row>
    <row r="17" spans="1:7" x14ac:dyDescent="0.2">
      <c r="A17" s="42" t="s">
        <v>156</v>
      </c>
      <c r="B17" s="20">
        <v>4856</v>
      </c>
      <c r="C17" s="20">
        <v>0</v>
      </c>
      <c r="D17" s="20">
        <v>5740</v>
      </c>
      <c r="E17" s="20">
        <v>118</v>
      </c>
      <c r="F17" s="20">
        <v>5858</v>
      </c>
      <c r="G17" s="43">
        <v>7490</v>
      </c>
    </row>
    <row r="18" spans="1:7" x14ac:dyDescent="0.2">
      <c r="A18" s="42" t="s">
        <v>157</v>
      </c>
      <c r="B18" s="20">
        <v>6912</v>
      </c>
      <c r="C18" s="20">
        <v>0</v>
      </c>
      <c r="D18" s="20">
        <v>8171</v>
      </c>
      <c r="E18" s="20">
        <v>167</v>
      </c>
      <c r="F18" s="20">
        <v>8338</v>
      </c>
      <c r="G18" s="43">
        <v>10660</v>
      </c>
    </row>
    <row r="19" spans="1:7" x14ac:dyDescent="0.2">
      <c r="A19" s="42" t="s">
        <v>158</v>
      </c>
      <c r="B19" s="20">
        <v>108038</v>
      </c>
      <c r="C19" s="20">
        <v>0</v>
      </c>
      <c r="D19" s="20">
        <v>127710</v>
      </c>
      <c r="E19" s="20">
        <v>2615</v>
      </c>
      <c r="F19" s="20">
        <v>130325</v>
      </c>
      <c r="G19" s="43">
        <v>166627</v>
      </c>
    </row>
    <row r="20" spans="1:7" x14ac:dyDescent="0.2">
      <c r="A20" s="42" t="s">
        <v>159</v>
      </c>
      <c r="B20" s="20">
        <v>47518</v>
      </c>
      <c r="C20" s="20">
        <v>0</v>
      </c>
      <c r="D20" s="20">
        <v>56170</v>
      </c>
      <c r="E20" s="20">
        <v>1150</v>
      </c>
      <c r="F20" s="20">
        <v>57320</v>
      </c>
      <c r="G20" s="43">
        <v>73287</v>
      </c>
    </row>
    <row r="21" spans="1:7" x14ac:dyDescent="0.2">
      <c r="A21" s="42" t="s">
        <v>160</v>
      </c>
      <c r="B21" s="20">
        <v>24117</v>
      </c>
      <c r="C21" s="20">
        <v>0</v>
      </c>
      <c r="D21" s="20">
        <v>28508</v>
      </c>
      <c r="E21" s="20">
        <v>584</v>
      </c>
      <c r="F21" s="20">
        <v>29092</v>
      </c>
      <c r="G21" s="43">
        <v>37195</v>
      </c>
    </row>
    <row r="22" spans="1:7" x14ac:dyDescent="0.2">
      <c r="A22" s="42" t="s">
        <v>161</v>
      </c>
      <c r="B22" s="20">
        <v>27094</v>
      </c>
      <c r="C22" s="20">
        <v>0</v>
      </c>
      <c r="D22" s="20">
        <v>32027</v>
      </c>
      <c r="E22" s="20">
        <v>656</v>
      </c>
      <c r="F22" s="20">
        <v>32683</v>
      </c>
      <c r="G22" s="43">
        <v>41787</v>
      </c>
    </row>
    <row r="23" spans="1:7" x14ac:dyDescent="0.2">
      <c r="A23" s="42" t="s">
        <v>162</v>
      </c>
      <c r="B23" s="20">
        <v>34808</v>
      </c>
      <c r="C23" s="20">
        <v>0</v>
      </c>
      <c r="D23" s="20">
        <v>41146</v>
      </c>
      <c r="E23" s="20">
        <v>842</v>
      </c>
      <c r="F23" s="20">
        <v>41988</v>
      </c>
      <c r="G23" s="43">
        <v>53684</v>
      </c>
    </row>
    <row r="24" spans="1:7" x14ac:dyDescent="0.2">
      <c r="A24" s="42" t="s">
        <v>163</v>
      </c>
      <c r="B24" s="20">
        <v>94869</v>
      </c>
      <c r="C24" s="20">
        <v>0</v>
      </c>
      <c r="D24" s="20">
        <v>112143</v>
      </c>
      <c r="E24" s="20">
        <v>2296</v>
      </c>
      <c r="F24" s="20">
        <v>114439</v>
      </c>
      <c r="G24" s="43">
        <v>146316</v>
      </c>
    </row>
    <row r="25" spans="1:7" x14ac:dyDescent="0.2">
      <c r="A25" s="42" t="s">
        <v>164</v>
      </c>
      <c r="B25" s="20">
        <v>8350</v>
      </c>
      <c r="C25" s="20">
        <v>0</v>
      </c>
      <c r="D25" s="20">
        <v>9870</v>
      </c>
      <c r="E25" s="20">
        <v>202</v>
      </c>
      <c r="F25" s="20">
        <v>10072</v>
      </c>
      <c r="G25" s="43">
        <v>12879</v>
      </c>
    </row>
    <row r="26" spans="1:7" x14ac:dyDescent="0.2">
      <c r="A26" s="42" t="s">
        <v>165</v>
      </c>
      <c r="B26" s="20">
        <v>53379</v>
      </c>
      <c r="C26" s="20">
        <v>0</v>
      </c>
      <c r="D26" s="20">
        <v>63098</v>
      </c>
      <c r="E26" s="20">
        <v>1292</v>
      </c>
      <c r="F26" s="20">
        <v>64390</v>
      </c>
      <c r="G26" s="43">
        <v>82326</v>
      </c>
    </row>
    <row r="27" spans="1:7" x14ac:dyDescent="0.2">
      <c r="A27" s="42" t="s">
        <v>166</v>
      </c>
      <c r="B27" s="20">
        <v>43270</v>
      </c>
      <c r="C27" s="20">
        <v>0</v>
      </c>
      <c r="D27" s="20">
        <v>51149</v>
      </c>
      <c r="E27" s="20">
        <v>1047</v>
      </c>
      <c r="F27" s="20">
        <v>52196</v>
      </c>
      <c r="G27" s="43">
        <v>66736</v>
      </c>
    </row>
    <row r="28" spans="1:7" x14ac:dyDescent="0.2">
      <c r="A28" s="42" t="s">
        <v>167</v>
      </c>
      <c r="B28" s="20">
        <v>56073</v>
      </c>
      <c r="C28" s="20">
        <v>0</v>
      </c>
      <c r="D28" s="20">
        <v>66283</v>
      </c>
      <c r="E28" s="20">
        <v>1357</v>
      </c>
      <c r="F28" s="20">
        <v>67640</v>
      </c>
      <c r="G28" s="43">
        <v>86481</v>
      </c>
    </row>
    <row r="29" spans="1:7" x14ac:dyDescent="0.2">
      <c r="A29" s="42" t="s">
        <v>168</v>
      </c>
      <c r="B29" s="20">
        <v>67465</v>
      </c>
      <c r="C29" s="20">
        <v>0</v>
      </c>
      <c r="D29" s="20">
        <v>79749</v>
      </c>
      <c r="E29" s="20">
        <v>1633</v>
      </c>
      <c r="F29" s="20">
        <v>81382</v>
      </c>
      <c r="G29" s="43">
        <v>104051</v>
      </c>
    </row>
    <row r="30" spans="1:7" x14ac:dyDescent="0.2">
      <c r="A30" s="42" t="s">
        <v>169</v>
      </c>
      <c r="B30" s="20">
        <v>34924</v>
      </c>
      <c r="C30" s="20">
        <v>0</v>
      </c>
      <c r="D30" s="20">
        <v>41283</v>
      </c>
      <c r="E30" s="20">
        <v>845</v>
      </c>
      <c r="F30" s="20">
        <v>42128</v>
      </c>
      <c r="G30" s="43">
        <v>53863</v>
      </c>
    </row>
    <row r="31" spans="1:7" x14ac:dyDescent="0.2">
      <c r="A31" s="42" t="s">
        <v>170</v>
      </c>
      <c r="B31" s="20">
        <v>56014</v>
      </c>
      <c r="C31" s="20">
        <v>0</v>
      </c>
      <c r="D31" s="20">
        <v>66213</v>
      </c>
      <c r="E31" s="20">
        <v>1356</v>
      </c>
      <c r="F31" s="20">
        <v>67569</v>
      </c>
      <c r="G31" s="43">
        <v>86390</v>
      </c>
    </row>
    <row r="32" spans="1:7" x14ac:dyDescent="0.2">
      <c r="A32" s="42" t="s">
        <v>171</v>
      </c>
      <c r="B32" s="20">
        <v>9399</v>
      </c>
      <c r="C32" s="20">
        <v>0</v>
      </c>
      <c r="D32" s="20">
        <v>11110</v>
      </c>
      <c r="E32" s="20">
        <v>227</v>
      </c>
      <c r="F32" s="20">
        <v>11337</v>
      </c>
      <c r="G32" s="43">
        <v>14496</v>
      </c>
    </row>
    <row r="33" spans="1:7" x14ac:dyDescent="0.2">
      <c r="A33" s="42" t="s">
        <v>172</v>
      </c>
      <c r="B33" s="20">
        <v>23855</v>
      </c>
      <c r="C33" s="20">
        <v>0</v>
      </c>
      <c r="D33" s="20">
        <v>28199</v>
      </c>
      <c r="E33" s="20">
        <v>577</v>
      </c>
      <c r="F33" s="20">
        <v>28776</v>
      </c>
      <c r="G33" s="43">
        <v>36791</v>
      </c>
    </row>
    <row r="34" spans="1:7" x14ac:dyDescent="0.2">
      <c r="A34" s="42" t="s">
        <v>173</v>
      </c>
      <c r="B34" s="20">
        <v>9365</v>
      </c>
      <c r="C34" s="20">
        <v>0</v>
      </c>
      <c r="D34" s="20">
        <v>11070</v>
      </c>
      <c r="E34" s="20">
        <v>227</v>
      </c>
      <c r="F34" s="20">
        <v>11297</v>
      </c>
      <c r="G34" s="43">
        <v>14443</v>
      </c>
    </row>
    <row r="35" spans="1:7" x14ac:dyDescent="0.2">
      <c r="A35" s="42" t="s">
        <v>174</v>
      </c>
      <c r="B35" s="20">
        <v>3192</v>
      </c>
      <c r="C35" s="20">
        <v>0</v>
      </c>
      <c r="D35" s="20">
        <v>3773</v>
      </c>
      <c r="E35" s="20">
        <v>77</v>
      </c>
      <c r="F35" s="20">
        <v>3850</v>
      </c>
      <c r="G35" s="43">
        <v>4923</v>
      </c>
    </row>
    <row r="36" spans="1:7" x14ac:dyDescent="0.2">
      <c r="A36" s="42" t="s">
        <v>175</v>
      </c>
      <c r="B36" s="20">
        <v>67703</v>
      </c>
      <c r="C36" s="20">
        <v>0</v>
      </c>
      <c r="D36" s="20">
        <v>80030</v>
      </c>
      <c r="E36" s="20">
        <v>1639</v>
      </c>
      <c r="F36" s="20">
        <v>81669</v>
      </c>
      <c r="G36" s="43">
        <v>104418</v>
      </c>
    </row>
    <row r="37" spans="1:7" x14ac:dyDescent="0.2">
      <c r="A37" s="42" t="s">
        <v>176</v>
      </c>
      <c r="B37" s="20">
        <v>28240</v>
      </c>
      <c r="C37" s="20">
        <v>0</v>
      </c>
      <c r="D37" s="20">
        <v>33382</v>
      </c>
      <c r="E37" s="20">
        <v>683</v>
      </c>
      <c r="F37" s="20">
        <v>34065</v>
      </c>
      <c r="G37" s="43">
        <v>43554</v>
      </c>
    </row>
    <row r="38" spans="1:7" x14ac:dyDescent="0.2">
      <c r="A38" s="42" t="s">
        <v>177</v>
      </c>
      <c r="B38" s="20">
        <v>166014</v>
      </c>
      <c r="C38" s="20">
        <v>0</v>
      </c>
      <c r="D38" s="20">
        <v>196242</v>
      </c>
      <c r="E38" s="20">
        <v>4018</v>
      </c>
      <c r="F38" s="20">
        <v>200260</v>
      </c>
      <c r="G38" s="43">
        <v>256043</v>
      </c>
    </row>
    <row r="39" spans="1:7" x14ac:dyDescent="0.2">
      <c r="A39" s="42" t="s">
        <v>178</v>
      </c>
      <c r="B39" s="20">
        <v>82642</v>
      </c>
      <c r="C39" s="20">
        <v>0</v>
      </c>
      <c r="D39" s="20">
        <v>97689</v>
      </c>
      <c r="E39" s="20">
        <v>2000</v>
      </c>
      <c r="F39" s="20">
        <v>99689</v>
      </c>
      <c r="G39" s="43">
        <v>127458</v>
      </c>
    </row>
    <row r="40" spans="1:7" x14ac:dyDescent="0.2">
      <c r="A40" s="42" t="s">
        <v>179</v>
      </c>
      <c r="B40" s="20">
        <v>8037</v>
      </c>
      <c r="C40" s="20">
        <v>0</v>
      </c>
      <c r="D40" s="20">
        <v>9500</v>
      </c>
      <c r="E40" s="20">
        <v>195</v>
      </c>
      <c r="F40" s="20">
        <v>9695</v>
      </c>
      <c r="G40" s="43">
        <v>12396</v>
      </c>
    </row>
    <row r="41" spans="1:7" x14ac:dyDescent="0.2">
      <c r="A41" s="42" t="s">
        <v>180</v>
      </c>
      <c r="B41" s="20">
        <v>71874</v>
      </c>
      <c r="C41" s="20">
        <v>0</v>
      </c>
      <c r="D41" s="20">
        <v>84961</v>
      </c>
      <c r="E41" s="20">
        <v>1739</v>
      </c>
      <c r="F41" s="20">
        <v>86700</v>
      </c>
      <c r="G41" s="43">
        <v>110850</v>
      </c>
    </row>
    <row r="42" spans="1:7" x14ac:dyDescent="0.2">
      <c r="A42" s="42" t="s">
        <v>181</v>
      </c>
      <c r="B42" s="20">
        <v>58571</v>
      </c>
      <c r="C42" s="20">
        <v>0</v>
      </c>
      <c r="D42" s="20">
        <v>69236</v>
      </c>
      <c r="E42" s="20">
        <v>1417</v>
      </c>
      <c r="F42" s="20">
        <v>70653</v>
      </c>
      <c r="G42" s="43">
        <v>90334</v>
      </c>
    </row>
    <row r="43" spans="1:7" x14ac:dyDescent="0.2">
      <c r="A43" s="42" t="s">
        <v>182</v>
      </c>
      <c r="B43" s="20">
        <v>26527</v>
      </c>
      <c r="C43" s="20">
        <v>0</v>
      </c>
      <c r="D43" s="20">
        <v>31357</v>
      </c>
      <c r="E43" s="20">
        <v>642</v>
      </c>
      <c r="F43" s="20">
        <v>31999</v>
      </c>
      <c r="G43" s="43">
        <v>40913</v>
      </c>
    </row>
    <row r="44" spans="1:7" x14ac:dyDescent="0.2">
      <c r="A44" s="42" t="s">
        <v>183</v>
      </c>
      <c r="B44" s="20">
        <v>85763</v>
      </c>
      <c r="C44" s="20">
        <v>0</v>
      </c>
      <c r="D44" s="20">
        <v>101379</v>
      </c>
      <c r="E44" s="20">
        <v>2076</v>
      </c>
      <c r="F44" s="20">
        <v>103455</v>
      </c>
      <c r="G44" s="43">
        <v>132272</v>
      </c>
    </row>
    <row r="45" spans="1:7" x14ac:dyDescent="0.2">
      <c r="A45" s="42" t="s">
        <v>184</v>
      </c>
      <c r="B45" s="20">
        <v>6781</v>
      </c>
      <c r="C45" s="20">
        <v>0</v>
      </c>
      <c r="D45" s="20">
        <v>8016</v>
      </c>
      <c r="E45" s="20">
        <v>164</v>
      </c>
      <c r="F45" s="20">
        <v>8180</v>
      </c>
      <c r="G45" s="43">
        <v>10458</v>
      </c>
    </row>
    <row r="46" spans="1:7" x14ac:dyDescent="0.2">
      <c r="A46" s="42" t="s">
        <v>185</v>
      </c>
      <c r="B46" s="20">
        <v>28872</v>
      </c>
      <c r="C46" s="20">
        <v>0</v>
      </c>
      <c r="D46" s="20">
        <v>34129</v>
      </c>
      <c r="E46" s="20">
        <v>699</v>
      </c>
      <c r="F46" s="20">
        <v>34828</v>
      </c>
      <c r="G46" s="43">
        <v>44529</v>
      </c>
    </row>
    <row r="47" spans="1:7" x14ac:dyDescent="0.2">
      <c r="A47" s="42" t="s">
        <v>186</v>
      </c>
      <c r="B47" s="20">
        <v>6407</v>
      </c>
      <c r="C47" s="20">
        <v>0</v>
      </c>
      <c r="D47" s="20">
        <v>7574</v>
      </c>
      <c r="E47" s="20">
        <v>155</v>
      </c>
      <c r="F47" s="20">
        <v>7729</v>
      </c>
      <c r="G47" s="43">
        <v>9882</v>
      </c>
    </row>
    <row r="48" spans="1:7" x14ac:dyDescent="0.2">
      <c r="A48" s="42" t="s">
        <v>187</v>
      </c>
      <c r="B48" s="20">
        <v>50970</v>
      </c>
      <c r="C48" s="20">
        <v>0</v>
      </c>
      <c r="D48" s="20">
        <v>60251</v>
      </c>
      <c r="E48" s="20">
        <v>1234</v>
      </c>
      <c r="F48" s="20">
        <v>61485</v>
      </c>
      <c r="G48" s="43">
        <v>78610</v>
      </c>
    </row>
    <row r="49" spans="1:7" x14ac:dyDescent="0.2">
      <c r="A49" s="42" t="s">
        <v>188</v>
      </c>
      <c r="B49" s="20">
        <v>398536</v>
      </c>
      <c r="C49" s="20">
        <v>0</v>
      </c>
      <c r="D49" s="20">
        <v>471102</v>
      </c>
      <c r="E49" s="20">
        <v>9645</v>
      </c>
      <c r="F49" s="20">
        <v>480747</v>
      </c>
      <c r="G49" s="43">
        <v>614660</v>
      </c>
    </row>
    <row r="50" spans="1:7" x14ac:dyDescent="0.2">
      <c r="A50" s="42" t="s">
        <v>189</v>
      </c>
      <c r="B50" s="20">
        <v>25487</v>
      </c>
      <c r="C50" s="20">
        <v>0</v>
      </c>
      <c r="D50" s="20">
        <v>30128</v>
      </c>
      <c r="E50" s="20">
        <v>617</v>
      </c>
      <c r="F50" s="20">
        <v>30745</v>
      </c>
      <c r="G50" s="43">
        <v>39308</v>
      </c>
    </row>
    <row r="51" spans="1:7" x14ac:dyDescent="0.2">
      <c r="A51" s="42" t="s">
        <v>190</v>
      </c>
      <c r="B51" s="20">
        <v>4594</v>
      </c>
      <c r="C51" s="20">
        <v>0</v>
      </c>
      <c r="D51" s="20">
        <v>5430</v>
      </c>
      <c r="E51" s="20">
        <v>111</v>
      </c>
      <c r="F51" s="20">
        <v>5541</v>
      </c>
      <c r="G51" s="43">
        <v>7086</v>
      </c>
    </row>
    <row r="52" spans="1:7" x14ac:dyDescent="0.2">
      <c r="A52" s="42" t="s">
        <v>191</v>
      </c>
      <c r="B52" s="20">
        <v>42410</v>
      </c>
      <c r="C52" s="20">
        <v>0</v>
      </c>
      <c r="D52" s="20">
        <v>50132</v>
      </c>
      <c r="E52" s="20">
        <v>1026</v>
      </c>
      <c r="F52" s="20">
        <v>51158</v>
      </c>
      <c r="G52" s="43">
        <v>65409</v>
      </c>
    </row>
    <row r="53" spans="1:7" x14ac:dyDescent="0.2">
      <c r="A53" s="42" t="s">
        <v>192</v>
      </c>
      <c r="B53" s="20">
        <v>34816</v>
      </c>
      <c r="C53" s="20">
        <v>0</v>
      </c>
      <c r="D53" s="20">
        <v>41155</v>
      </c>
      <c r="E53" s="20">
        <v>843</v>
      </c>
      <c r="F53" s="20">
        <v>41998</v>
      </c>
      <c r="G53" s="43">
        <v>53696</v>
      </c>
    </row>
    <row r="54" spans="1:7" x14ac:dyDescent="0.2">
      <c r="A54" s="42" t="s">
        <v>193</v>
      </c>
      <c r="B54" s="20">
        <v>13341</v>
      </c>
      <c r="C54" s="20">
        <v>0</v>
      </c>
      <c r="D54" s="20">
        <v>15770</v>
      </c>
      <c r="E54" s="20">
        <v>323</v>
      </c>
      <c r="F54" s="20">
        <v>16093</v>
      </c>
      <c r="G54" s="43">
        <v>20575</v>
      </c>
    </row>
    <row r="55" spans="1:7" x14ac:dyDescent="0.2">
      <c r="A55" s="42" t="s">
        <v>194</v>
      </c>
      <c r="B55" s="20">
        <v>29313</v>
      </c>
      <c r="C55" s="20">
        <v>0</v>
      </c>
      <c r="D55" s="20">
        <v>34650</v>
      </c>
      <c r="E55" s="20">
        <v>709</v>
      </c>
      <c r="F55" s="20">
        <v>35359</v>
      </c>
      <c r="G55" s="43">
        <v>45209</v>
      </c>
    </row>
    <row r="56" spans="1:7" x14ac:dyDescent="0.2">
      <c r="A56" s="42" t="s">
        <v>195</v>
      </c>
      <c r="B56" s="20">
        <v>3864</v>
      </c>
      <c r="C56" s="20">
        <v>0</v>
      </c>
      <c r="D56" s="20">
        <v>4568</v>
      </c>
      <c r="E56" s="20">
        <v>94</v>
      </c>
      <c r="F56" s="20">
        <v>4662</v>
      </c>
      <c r="G56" s="43">
        <v>5959</v>
      </c>
    </row>
    <row r="57" spans="1:7" x14ac:dyDescent="0.2">
      <c r="A57" s="42" t="s">
        <v>196</v>
      </c>
      <c r="B57" s="20">
        <v>0</v>
      </c>
      <c r="C57" s="20">
        <v>0</v>
      </c>
      <c r="D57" s="20">
        <v>0</v>
      </c>
      <c r="E57" s="20">
        <v>0</v>
      </c>
      <c r="F57" s="20">
        <v>0</v>
      </c>
      <c r="G57" s="43">
        <v>0</v>
      </c>
    </row>
    <row r="58" spans="1:7" x14ac:dyDescent="0.2">
      <c r="A58" s="42" t="s">
        <v>197</v>
      </c>
      <c r="B58" s="20">
        <v>273</v>
      </c>
      <c r="C58" s="20">
        <v>0</v>
      </c>
      <c r="D58" s="20">
        <v>323</v>
      </c>
      <c r="E58" s="20">
        <v>7</v>
      </c>
      <c r="F58" s="20">
        <v>330</v>
      </c>
      <c r="G58" s="43">
        <v>421</v>
      </c>
    </row>
    <row r="59" spans="1:7" x14ac:dyDescent="0.2">
      <c r="A59" s="42" t="s">
        <v>198</v>
      </c>
      <c r="B59" s="20">
        <v>0</v>
      </c>
      <c r="C59" s="20">
        <v>0</v>
      </c>
      <c r="D59" s="20">
        <v>0</v>
      </c>
      <c r="E59" s="20">
        <v>0</v>
      </c>
      <c r="F59" s="20">
        <v>0</v>
      </c>
      <c r="G59" s="43">
        <v>0</v>
      </c>
    </row>
    <row r="60" spans="1:7" x14ac:dyDescent="0.2">
      <c r="A60" s="42" t="s">
        <v>199</v>
      </c>
      <c r="B60" s="20">
        <v>9836</v>
      </c>
      <c r="C60" s="20">
        <v>0</v>
      </c>
      <c r="D60" s="20">
        <v>11627</v>
      </c>
      <c r="E60" s="20">
        <v>238</v>
      </c>
      <c r="F60" s="20">
        <v>11865</v>
      </c>
      <c r="G60" s="43">
        <v>15170</v>
      </c>
    </row>
    <row r="61" spans="1:7" x14ac:dyDescent="0.2">
      <c r="A61" s="42" t="s">
        <v>200</v>
      </c>
      <c r="B61" s="20">
        <v>0</v>
      </c>
      <c r="C61" s="20">
        <v>0</v>
      </c>
      <c r="D61" s="20">
        <v>0</v>
      </c>
      <c r="E61" s="20">
        <v>0</v>
      </c>
      <c r="F61" s="20">
        <v>0</v>
      </c>
      <c r="G61" s="43">
        <v>0</v>
      </c>
    </row>
    <row r="62" spans="1:7" x14ac:dyDescent="0.2">
      <c r="A62" s="42" t="s">
        <v>201</v>
      </c>
      <c r="B62" s="20">
        <v>649</v>
      </c>
      <c r="C62" s="20">
        <v>0</v>
      </c>
      <c r="D62" s="20">
        <v>767</v>
      </c>
      <c r="E62" s="20">
        <v>16</v>
      </c>
      <c r="F62" s="20">
        <v>783</v>
      </c>
      <c r="G62" s="43">
        <v>1001</v>
      </c>
    </row>
    <row r="63" spans="1:7" x14ac:dyDescent="0.2">
      <c r="A63" s="42" t="s">
        <v>202</v>
      </c>
      <c r="B63" s="20">
        <v>0</v>
      </c>
      <c r="C63" s="20">
        <v>0</v>
      </c>
      <c r="D63" s="20">
        <v>0</v>
      </c>
      <c r="E63" s="20">
        <v>0</v>
      </c>
      <c r="F63" s="20">
        <v>0</v>
      </c>
      <c r="G63" s="43">
        <v>0</v>
      </c>
    </row>
    <row r="64" spans="1:7" x14ac:dyDescent="0.2">
      <c r="A64" s="42" t="s">
        <v>203</v>
      </c>
      <c r="B64" s="20">
        <v>-128359</v>
      </c>
      <c r="C64" s="20">
        <v>0</v>
      </c>
      <c r="D64" s="20">
        <v>0</v>
      </c>
      <c r="E64" s="20">
        <v>0</v>
      </c>
      <c r="F64" s="20">
        <v>0</v>
      </c>
      <c r="G64" s="43">
        <v>0</v>
      </c>
    </row>
    <row r="65" spans="1:7" ht="15" customHeight="1" x14ac:dyDescent="0.2">
      <c r="A65" s="44" t="s">
        <v>204</v>
      </c>
      <c r="B65" s="45">
        <v>2764000</v>
      </c>
      <c r="C65" s="45">
        <v>0</v>
      </c>
      <c r="D65" s="45">
        <v>3419000</v>
      </c>
      <c r="E65" s="45">
        <v>70000</v>
      </c>
      <c r="F65" s="45">
        <v>3489000</v>
      </c>
      <c r="G65" s="51">
        <v>4460868</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G67"/>
  <sheetViews>
    <sheetView workbookViewId="0"/>
  </sheetViews>
  <sheetFormatPr defaultRowHeight="12.75" x14ac:dyDescent="0.2"/>
  <cols>
    <col min="1" max="1" width="30.7109375" customWidth="1"/>
    <col min="2" max="7" width="11.7109375" customWidth="1"/>
  </cols>
  <sheetData>
    <row r="1" spans="1:7" ht="38.25" customHeight="1" x14ac:dyDescent="0.2">
      <c r="A1" s="15" t="s">
        <v>292</v>
      </c>
      <c r="B1" s="16"/>
      <c r="C1" s="16"/>
      <c r="D1" s="16"/>
      <c r="E1" s="16"/>
      <c r="F1" s="16"/>
      <c r="G1" s="15" t="s">
        <v>207</v>
      </c>
    </row>
    <row r="2" spans="1:7" x14ac:dyDescent="0.2">
      <c r="A2" s="17" t="s">
        <v>329</v>
      </c>
      <c r="B2" s="18"/>
      <c r="C2" s="18"/>
      <c r="D2" s="18"/>
      <c r="E2" s="18"/>
      <c r="F2" s="18"/>
      <c r="G2" s="18"/>
    </row>
    <row r="3" spans="1:7" x14ac:dyDescent="0.2">
      <c r="A3" s="18" t="s">
        <v>136</v>
      </c>
      <c r="B3" s="18"/>
      <c r="C3" s="18"/>
      <c r="D3" s="18"/>
      <c r="E3" s="18"/>
      <c r="F3" s="18"/>
      <c r="G3" s="18"/>
    </row>
    <row r="4" spans="1:7" x14ac:dyDescent="0.2">
      <c r="A4" s="95" t="s">
        <v>137</v>
      </c>
      <c r="B4" s="97" t="s">
        <v>138</v>
      </c>
      <c r="C4" s="41" t="s">
        <v>139</v>
      </c>
      <c r="D4" s="41"/>
      <c r="E4" s="41"/>
      <c r="F4" s="97" t="s">
        <v>140</v>
      </c>
      <c r="G4" s="99" t="s">
        <v>141</v>
      </c>
    </row>
    <row r="5" spans="1:7" ht="25.5" customHeight="1" x14ac:dyDescent="0.2">
      <c r="A5" s="96"/>
      <c r="B5" s="98"/>
      <c r="C5" s="19" t="s">
        <v>142</v>
      </c>
      <c r="D5" s="19" t="s">
        <v>143</v>
      </c>
      <c r="E5" s="19" t="s">
        <v>144</v>
      </c>
      <c r="F5" s="98"/>
      <c r="G5" s="100"/>
    </row>
    <row r="6" spans="1:7" x14ac:dyDescent="0.2">
      <c r="A6" s="42" t="s">
        <v>145</v>
      </c>
      <c r="B6" s="20">
        <v>54974</v>
      </c>
      <c r="C6" s="20">
        <v>353</v>
      </c>
      <c r="D6" s="20">
        <v>82380</v>
      </c>
      <c r="E6" s="20">
        <v>16389</v>
      </c>
      <c r="F6" s="20">
        <v>99122</v>
      </c>
      <c r="G6" s="43">
        <v>97174</v>
      </c>
    </row>
    <row r="7" spans="1:7" x14ac:dyDescent="0.2">
      <c r="A7" s="42" t="s">
        <v>146</v>
      </c>
      <c r="B7" s="20">
        <v>14200</v>
      </c>
      <c r="C7" s="20">
        <v>91</v>
      </c>
      <c r="D7" s="20">
        <v>20763</v>
      </c>
      <c r="E7" s="20">
        <v>2656</v>
      </c>
      <c r="F7" s="20">
        <v>23510</v>
      </c>
      <c r="G7" s="43">
        <v>24649</v>
      </c>
    </row>
    <row r="8" spans="1:7" x14ac:dyDescent="0.2">
      <c r="A8" s="42" t="s">
        <v>147</v>
      </c>
      <c r="B8" s="20">
        <v>72090</v>
      </c>
      <c r="C8" s="20">
        <v>463</v>
      </c>
      <c r="D8" s="20">
        <v>106986</v>
      </c>
      <c r="E8" s="20">
        <v>19386</v>
      </c>
      <c r="F8" s="20">
        <v>126835</v>
      </c>
      <c r="G8" s="43">
        <v>126401</v>
      </c>
    </row>
    <row r="9" spans="1:7" x14ac:dyDescent="0.2">
      <c r="A9" s="42" t="s">
        <v>148</v>
      </c>
      <c r="B9" s="20">
        <v>38993</v>
      </c>
      <c r="C9" s="20">
        <v>250</v>
      </c>
      <c r="D9" s="20">
        <v>58297</v>
      </c>
      <c r="E9" s="20">
        <v>9545</v>
      </c>
      <c r="F9" s="20">
        <v>68092</v>
      </c>
      <c r="G9" s="43">
        <v>68983</v>
      </c>
    </row>
    <row r="10" spans="1:7" x14ac:dyDescent="0.2">
      <c r="A10" s="42" t="s">
        <v>149</v>
      </c>
      <c r="B10" s="20">
        <v>1040432</v>
      </c>
      <c r="C10" s="20">
        <v>6681</v>
      </c>
      <c r="D10" s="20">
        <v>1488853</v>
      </c>
      <c r="E10" s="20">
        <v>124339</v>
      </c>
      <c r="F10" s="20">
        <v>1619873</v>
      </c>
      <c r="G10" s="43">
        <v>1774448</v>
      </c>
    </row>
    <row r="11" spans="1:7" x14ac:dyDescent="0.2">
      <c r="A11" s="42" t="s">
        <v>150</v>
      </c>
      <c r="B11" s="20">
        <v>64111</v>
      </c>
      <c r="C11" s="20">
        <v>412</v>
      </c>
      <c r="D11" s="20">
        <v>92905</v>
      </c>
      <c r="E11" s="20">
        <v>13972</v>
      </c>
      <c r="F11" s="20">
        <v>107289</v>
      </c>
      <c r="G11" s="43">
        <v>110069</v>
      </c>
    </row>
    <row r="12" spans="1:7" x14ac:dyDescent="0.2">
      <c r="A12" s="42" t="s">
        <v>151</v>
      </c>
      <c r="B12" s="20">
        <v>64096</v>
      </c>
      <c r="C12" s="20">
        <v>412</v>
      </c>
      <c r="D12" s="20">
        <v>92077</v>
      </c>
      <c r="E12" s="20">
        <v>9545</v>
      </c>
      <c r="F12" s="20">
        <v>102034</v>
      </c>
      <c r="G12" s="43">
        <v>109542</v>
      </c>
    </row>
    <row r="13" spans="1:7" x14ac:dyDescent="0.2">
      <c r="A13" s="42" t="s">
        <v>152</v>
      </c>
      <c r="B13" s="20">
        <v>14459</v>
      </c>
      <c r="C13" s="20">
        <v>93</v>
      </c>
      <c r="D13" s="20">
        <v>21394</v>
      </c>
      <c r="E13" s="20">
        <v>2758</v>
      </c>
      <c r="F13" s="20">
        <v>24245</v>
      </c>
      <c r="G13" s="43">
        <v>25395</v>
      </c>
    </row>
    <row r="14" spans="1:7" x14ac:dyDescent="0.2">
      <c r="A14" s="42" t="s">
        <v>153</v>
      </c>
      <c r="B14" s="20">
        <v>31146</v>
      </c>
      <c r="C14" s="20">
        <v>200</v>
      </c>
      <c r="D14" s="20">
        <v>44422</v>
      </c>
      <c r="E14" s="20">
        <v>4143</v>
      </c>
      <c r="F14" s="20">
        <v>48765</v>
      </c>
      <c r="G14" s="43">
        <v>52897</v>
      </c>
    </row>
    <row r="15" spans="1:7" x14ac:dyDescent="0.2">
      <c r="A15" s="42" t="s">
        <v>154</v>
      </c>
      <c r="B15" s="20">
        <v>107168</v>
      </c>
      <c r="C15" s="20">
        <v>688</v>
      </c>
      <c r="D15" s="20">
        <v>177796</v>
      </c>
      <c r="E15" s="20">
        <v>130570</v>
      </c>
      <c r="F15" s="20">
        <v>309054</v>
      </c>
      <c r="G15" s="43">
        <v>199651</v>
      </c>
    </row>
    <row r="16" spans="1:7" x14ac:dyDescent="0.2">
      <c r="A16" s="42" t="s">
        <v>155</v>
      </c>
      <c r="B16" s="20">
        <v>98863</v>
      </c>
      <c r="C16" s="20">
        <v>635</v>
      </c>
      <c r="D16" s="20">
        <v>152005</v>
      </c>
      <c r="E16" s="20">
        <v>53300</v>
      </c>
      <c r="F16" s="20">
        <v>205940</v>
      </c>
      <c r="G16" s="43">
        <v>176863</v>
      </c>
    </row>
    <row r="17" spans="1:7" x14ac:dyDescent="0.2">
      <c r="A17" s="42" t="s">
        <v>156</v>
      </c>
      <c r="B17" s="20">
        <v>23028</v>
      </c>
      <c r="C17" s="20">
        <v>148</v>
      </c>
      <c r="D17" s="20">
        <v>32929</v>
      </c>
      <c r="E17" s="20">
        <v>738</v>
      </c>
      <c r="F17" s="20">
        <v>33815</v>
      </c>
      <c r="G17" s="43">
        <v>39458</v>
      </c>
    </row>
    <row r="18" spans="1:7" x14ac:dyDescent="0.2">
      <c r="A18" s="42" t="s">
        <v>157</v>
      </c>
      <c r="B18" s="20">
        <v>12048</v>
      </c>
      <c r="C18" s="20">
        <v>77</v>
      </c>
      <c r="D18" s="20">
        <v>18190</v>
      </c>
      <c r="E18" s="20">
        <v>5073</v>
      </c>
      <c r="F18" s="20">
        <v>23340</v>
      </c>
      <c r="G18" s="43">
        <v>21302</v>
      </c>
    </row>
    <row r="19" spans="1:7" x14ac:dyDescent="0.2">
      <c r="A19" s="42" t="s">
        <v>158</v>
      </c>
      <c r="B19" s="20">
        <v>146234</v>
      </c>
      <c r="C19" s="20">
        <v>939</v>
      </c>
      <c r="D19" s="20">
        <v>212946</v>
      </c>
      <c r="E19" s="20">
        <v>2849</v>
      </c>
      <c r="F19" s="20">
        <v>216734</v>
      </c>
      <c r="G19" s="43">
        <v>255371</v>
      </c>
    </row>
    <row r="20" spans="1:7" x14ac:dyDescent="0.2">
      <c r="A20" s="42" t="s">
        <v>159</v>
      </c>
      <c r="B20" s="20">
        <v>60963</v>
      </c>
      <c r="C20" s="20">
        <v>391</v>
      </c>
      <c r="D20" s="20">
        <v>94811</v>
      </c>
      <c r="E20" s="20">
        <v>58055</v>
      </c>
      <c r="F20" s="20">
        <v>153257</v>
      </c>
      <c r="G20" s="43">
        <v>107692</v>
      </c>
    </row>
    <row r="21" spans="1:7" x14ac:dyDescent="0.2">
      <c r="A21" s="42" t="s">
        <v>160</v>
      </c>
      <c r="B21" s="20">
        <v>24361</v>
      </c>
      <c r="C21" s="20">
        <v>156</v>
      </c>
      <c r="D21" s="20">
        <v>37414</v>
      </c>
      <c r="E21" s="20">
        <v>14619</v>
      </c>
      <c r="F21" s="20">
        <v>52189</v>
      </c>
      <c r="G21" s="43">
        <v>43374</v>
      </c>
    </row>
    <row r="22" spans="1:7" x14ac:dyDescent="0.2">
      <c r="A22" s="42" t="s">
        <v>161</v>
      </c>
      <c r="B22" s="20">
        <v>27075</v>
      </c>
      <c r="C22" s="20">
        <v>174</v>
      </c>
      <c r="D22" s="20">
        <v>40222</v>
      </c>
      <c r="E22" s="20">
        <v>6742</v>
      </c>
      <c r="F22" s="20">
        <v>47138</v>
      </c>
      <c r="G22" s="43">
        <v>47579</v>
      </c>
    </row>
    <row r="23" spans="1:7" x14ac:dyDescent="0.2">
      <c r="A23" s="42" t="s">
        <v>162</v>
      </c>
      <c r="B23" s="20">
        <v>77809</v>
      </c>
      <c r="C23" s="20">
        <v>500</v>
      </c>
      <c r="D23" s="20">
        <v>113008</v>
      </c>
      <c r="E23" s="20">
        <v>4336</v>
      </c>
      <c r="F23" s="20">
        <v>117844</v>
      </c>
      <c r="G23" s="43">
        <v>135225</v>
      </c>
    </row>
    <row r="24" spans="1:7" x14ac:dyDescent="0.2">
      <c r="A24" s="42" t="s">
        <v>163</v>
      </c>
      <c r="B24" s="20">
        <v>92897</v>
      </c>
      <c r="C24" s="20">
        <v>597</v>
      </c>
      <c r="D24" s="20">
        <v>136070</v>
      </c>
      <c r="E24" s="20">
        <v>14800</v>
      </c>
      <c r="F24" s="20">
        <v>151467</v>
      </c>
      <c r="G24" s="43">
        <v>161805</v>
      </c>
    </row>
    <row r="25" spans="1:7" x14ac:dyDescent="0.2">
      <c r="A25" s="42" t="s">
        <v>164</v>
      </c>
      <c r="B25" s="20">
        <v>18282</v>
      </c>
      <c r="C25" s="20">
        <v>117</v>
      </c>
      <c r="D25" s="20">
        <v>28056</v>
      </c>
      <c r="E25" s="20">
        <v>20453</v>
      </c>
      <c r="F25" s="20">
        <v>48626</v>
      </c>
      <c r="G25" s="43">
        <v>31521</v>
      </c>
    </row>
    <row r="26" spans="1:7" x14ac:dyDescent="0.2">
      <c r="A26" s="42" t="s">
        <v>165</v>
      </c>
      <c r="B26" s="20">
        <v>97183</v>
      </c>
      <c r="C26" s="20">
        <v>624</v>
      </c>
      <c r="D26" s="20">
        <v>139305</v>
      </c>
      <c r="E26" s="20">
        <v>4018</v>
      </c>
      <c r="F26" s="20">
        <v>143947</v>
      </c>
      <c r="G26" s="43">
        <v>166831</v>
      </c>
    </row>
    <row r="27" spans="1:7" x14ac:dyDescent="0.2">
      <c r="A27" s="42" t="s">
        <v>166</v>
      </c>
      <c r="B27" s="20">
        <v>72116</v>
      </c>
      <c r="C27" s="20">
        <v>463</v>
      </c>
      <c r="D27" s="20">
        <v>106729</v>
      </c>
      <c r="E27" s="20">
        <v>24664</v>
      </c>
      <c r="F27" s="20">
        <v>131856</v>
      </c>
      <c r="G27" s="43">
        <v>125535</v>
      </c>
    </row>
    <row r="28" spans="1:7" x14ac:dyDescent="0.2">
      <c r="A28" s="42" t="s">
        <v>167</v>
      </c>
      <c r="B28" s="20">
        <v>124586</v>
      </c>
      <c r="C28" s="20">
        <v>800</v>
      </c>
      <c r="D28" s="20">
        <v>181609</v>
      </c>
      <c r="E28" s="20">
        <v>25708</v>
      </c>
      <c r="F28" s="20">
        <v>208117</v>
      </c>
      <c r="G28" s="43">
        <v>215329</v>
      </c>
    </row>
    <row r="29" spans="1:7" x14ac:dyDescent="0.2">
      <c r="A29" s="42" t="s">
        <v>168</v>
      </c>
      <c r="B29" s="20">
        <v>70061</v>
      </c>
      <c r="C29" s="20">
        <v>450</v>
      </c>
      <c r="D29" s="20">
        <v>104481</v>
      </c>
      <c r="E29" s="20">
        <v>34073</v>
      </c>
      <c r="F29" s="20">
        <v>139004</v>
      </c>
      <c r="G29" s="43">
        <v>121841</v>
      </c>
    </row>
    <row r="30" spans="1:7" x14ac:dyDescent="0.2">
      <c r="A30" s="42" t="s">
        <v>169</v>
      </c>
      <c r="B30" s="20">
        <v>33016</v>
      </c>
      <c r="C30" s="20">
        <v>212</v>
      </c>
      <c r="D30" s="20">
        <v>50381</v>
      </c>
      <c r="E30" s="20">
        <v>11180</v>
      </c>
      <c r="F30" s="20">
        <v>61773</v>
      </c>
      <c r="G30" s="43">
        <v>59307</v>
      </c>
    </row>
    <row r="31" spans="1:7" x14ac:dyDescent="0.2">
      <c r="A31" s="42" t="s">
        <v>170</v>
      </c>
      <c r="B31" s="20">
        <v>54116</v>
      </c>
      <c r="C31" s="20">
        <v>347</v>
      </c>
      <c r="D31" s="20">
        <v>80358</v>
      </c>
      <c r="E31" s="20">
        <v>8501</v>
      </c>
      <c r="F31" s="20">
        <v>89206</v>
      </c>
      <c r="G31" s="43">
        <v>95582</v>
      </c>
    </row>
    <row r="32" spans="1:7" x14ac:dyDescent="0.2">
      <c r="A32" s="42" t="s">
        <v>171</v>
      </c>
      <c r="B32" s="20">
        <v>10273</v>
      </c>
      <c r="C32" s="20">
        <v>66</v>
      </c>
      <c r="D32" s="20">
        <v>16620</v>
      </c>
      <c r="E32" s="20">
        <v>17717</v>
      </c>
      <c r="F32" s="20">
        <v>34403</v>
      </c>
      <c r="G32" s="43">
        <v>18081</v>
      </c>
    </row>
    <row r="33" spans="1:7" x14ac:dyDescent="0.2">
      <c r="A33" s="42" t="s">
        <v>172</v>
      </c>
      <c r="B33" s="20">
        <v>19868</v>
      </c>
      <c r="C33" s="20">
        <v>128</v>
      </c>
      <c r="D33" s="20">
        <v>29623</v>
      </c>
      <c r="E33" s="20">
        <v>2157</v>
      </c>
      <c r="F33" s="20">
        <v>31908</v>
      </c>
      <c r="G33" s="43">
        <v>35338</v>
      </c>
    </row>
    <row r="34" spans="1:7" x14ac:dyDescent="0.2">
      <c r="A34" s="42" t="s">
        <v>173</v>
      </c>
      <c r="B34" s="20">
        <v>25803</v>
      </c>
      <c r="C34" s="20">
        <v>166</v>
      </c>
      <c r="D34" s="20">
        <v>37995</v>
      </c>
      <c r="E34" s="20">
        <v>3019</v>
      </c>
      <c r="F34" s="20">
        <v>41180</v>
      </c>
      <c r="G34" s="43">
        <v>45299</v>
      </c>
    </row>
    <row r="35" spans="1:7" x14ac:dyDescent="0.2">
      <c r="A35" s="42" t="s">
        <v>174</v>
      </c>
      <c r="B35" s="20">
        <v>10201</v>
      </c>
      <c r="C35" s="20">
        <v>65</v>
      </c>
      <c r="D35" s="20">
        <v>15814</v>
      </c>
      <c r="E35" s="20">
        <v>12349</v>
      </c>
      <c r="F35" s="20">
        <v>28228</v>
      </c>
      <c r="G35" s="43">
        <v>17681</v>
      </c>
    </row>
    <row r="36" spans="1:7" x14ac:dyDescent="0.2">
      <c r="A36" s="42" t="s">
        <v>175</v>
      </c>
      <c r="B36" s="20">
        <v>166600</v>
      </c>
      <c r="C36" s="20">
        <v>1070</v>
      </c>
      <c r="D36" s="20">
        <v>237672</v>
      </c>
      <c r="E36" s="20">
        <v>1600</v>
      </c>
      <c r="F36" s="20">
        <v>240342</v>
      </c>
      <c r="G36" s="43">
        <v>285193</v>
      </c>
    </row>
    <row r="37" spans="1:7" x14ac:dyDescent="0.2">
      <c r="A37" s="42" t="s">
        <v>176</v>
      </c>
      <c r="B37" s="20">
        <v>28008</v>
      </c>
      <c r="C37" s="20">
        <v>180</v>
      </c>
      <c r="D37" s="20">
        <v>42837</v>
      </c>
      <c r="E37" s="20">
        <v>18546</v>
      </c>
      <c r="F37" s="20">
        <v>61563</v>
      </c>
      <c r="G37" s="43">
        <v>49469</v>
      </c>
    </row>
    <row r="38" spans="1:7" x14ac:dyDescent="0.2">
      <c r="A38" s="42" t="s">
        <v>177</v>
      </c>
      <c r="B38" s="20">
        <v>418003</v>
      </c>
      <c r="C38" s="20">
        <v>2684</v>
      </c>
      <c r="D38" s="20">
        <v>598302</v>
      </c>
      <c r="E38" s="20">
        <v>11656</v>
      </c>
      <c r="F38" s="20">
        <v>612642</v>
      </c>
      <c r="G38" s="43">
        <v>717120</v>
      </c>
    </row>
    <row r="39" spans="1:7" x14ac:dyDescent="0.2">
      <c r="A39" s="42" t="s">
        <v>178</v>
      </c>
      <c r="B39" s="20">
        <v>130428</v>
      </c>
      <c r="C39" s="20">
        <v>837</v>
      </c>
      <c r="D39" s="20">
        <v>195376</v>
      </c>
      <c r="E39" s="20">
        <v>73866</v>
      </c>
      <c r="F39" s="20">
        <v>270079</v>
      </c>
      <c r="G39" s="43">
        <v>226763</v>
      </c>
    </row>
    <row r="40" spans="1:7" x14ac:dyDescent="0.2">
      <c r="A40" s="42" t="s">
        <v>179</v>
      </c>
      <c r="B40" s="20">
        <v>12533</v>
      </c>
      <c r="C40" s="20">
        <v>80</v>
      </c>
      <c r="D40" s="20">
        <v>21214</v>
      </c>
      <c r="E40" s="20">
        <v>35446</v>
      </c>
      <c r="F40" s="20">
        <v>56740</v>
      </c>
      <c r="G40" s="43">
        <v>21721</v>
      </c>
    </row>
    <row r="41" spans="1:7" x14ac:dyDescent="0.2">
      <c r="A41" s="42" t="s">
        <v>180</v>
      </c>
      <c r="B41" s="20">
        <v>117959</v>
      </c>
      <c r="C41" s="20">
        <v>757</v>
      </c>
      <c r="D41" s="20">
        <v>171400</v>
      </c>
      <c r="E41" s="20">
        <v>919</v>
      </c>
      <c r="F41" s="20">
        <v>173076</v>
      </c>
      <c r="G41" s="43">
        <v>205692</v>
      </c>
    </row>
    <row r="42" spans="1:7" x14ac:dyDescent="0.2">
      <c r="A42" s="42" t="s">
        <v>181</v>
      </c>
      <c r="B42" s="20">
        <v>45403</v>
      </c>
      <c r="C42" s="20">
        <v>292</v>
      </c>
      <c r="D42" s="20">
        <v>69605</v>
      </c>
      <c r="E42" s="20">
        <v>30327</v>
      </c>
      <c r="F42" s="20">
        <v>100224</v>
      </c>
      <c r="G42" s="43">
        <v>80363</v>
      </c>
    </row>
    <row r="43" spans="1:7" x14ac:dyDescent="0.2">
      <c r="A43" s="42" t="s">
        <v>182</v>
      </c>
      <c r="B43" s="20">
        <v>119064</v>
      </c>
      <c r="C43" s="20">
        <v>765</v>
      </c>
      <c r="D43" s="20">
        <v>171262</v>
      </c>
      <c r="E43" s="20">
        <v>36513</v>
      </c>
      <c r="F43" s="20">
        <v>208540</v>
      </c>
      <c r="G43" s="43">
        <v>201765</v>
      </c>
    </row>
    <row r="44" spans="1:7" x14ac:dyDescent="0.2">
      <c r="A44" s="42" t="s">
        <v>183</v>
      </c>
      <c r="B44" s="20">
        <v>204505</v>
      </c>
      <c r="C44" s="20">
        <v>1313</v>
      </c>
      <c r="D44" s="20">
        <v>294423</v>
      </c>
      <c r="E44" s="20">
        <v>19840</v>
      </c>
      <c r="F44" s="20">
        <v>315576</v>
      </c>
      <c r="G44" s="43">
        <v>351400</v>
      </c>
    </row>
    <row r="45" spans="1:7" x14ac:dyDescent="0.2">
      <c r="A45" s="42" t="s">
        <v>184</v>
      </c>
      <c r="B45" s="20">
        <v>20022</v>
      </c>
      <c r="C45" s="20">
        <v>129</v>
      </c>
      <c r="D45" s="20">
        <v>32610</v>
      </c>
      <c r="E45" s="20">
        <v>45638</v>
      </c>
      <c r="F45" s="20">
        <v>78377</v>
      </c>
      <c r="G45" s="43">
        <v>34325</v>
      </c>
    </row>
    <row r="46" spans="1:7" x14ac:dyDescent="0.2">
      <c r="A46" s="42" t="s">
        <v>185</v>
      </c>
      <c r="B46" s="20">
        <v>26281</v>
      </c>
      <c r="C46" s="20">
        <v>169</v>
      </c>
      <c r="D46" s="20">
        <v>40633</v>
      </c>
      <c r="E46" s="20">
        <v>3689</v>
      </c>
      <c r="F46" s="20">
        <v>44491</v>
      </c>
      <c r="G46" s="43">
        <v>48395</v>
      </c>
    </row>
    <row r="47" spans="1:7" x14ac:dyDescent="0.2">
      <c r="A47" s="42" t="s">
        <v>186</v>
      </c>
      <c r="B47" s="20">
        <v>9004</v>
      </c>
      <c r="C47" s="20">
        <v>58</v>
      </c>
      <c r="D47" s="20">
        <v>14419</v>
      </c>
      <c r="E47" s="20">
        <v>13302</v>
      </c>
      <c r="F47" s="20">
        <v>27779</v>
      </c>
      <c r="G47" s="43">
        <v>15904</v>
      </c>
    </row>
    <row r="48" spans="1:7" x14ac:dyDescent="0.2">
      <c r="A48" s="42" t="s">
        <v>187</v>
      </c>
      <c r="B48" s="20">
        <v>84952</v>
      </c>
      <c r="C48" s="20">
        <v>545</v>
      </c>
      <c r="D48" s="20">
        <v>123797</v>
      </c>
      <c r="E48" s="20">
        <v>1532</v>
      </c>
      <c r="F48" s="20">
        <v>125874</v>
      </c>
      <c r="G48" s="43">
        <v>148474</v>
      </c>
    </row>
    <row r="49" spans="1:7" x14ac:dyDescent="0.2">
      <c r="A49" s="42" t="s">
        <v>188</v>
      </c>
      <c r="B49" s="20">
        <v>191969</v>
      </c>
      <c r="C49" s="20">
        <v>1233</v>
      </c>
      <c r="D49" s="20">
        <v>298988</v>
      </c>
      <c r="E49" s="20">
        <v>18319</v>
      </c>
      <c r="F49" s="20">
        <v>318540</v>
      </c>
      <c r="G49" s="43">
        <v>357027</v>
      </c>
    </row>
    <row r="50" spans="1:7" x14ac:dyDescent="0.2">
      <c r="A50" s="42" t="s">
        <v>189</v>
      </c>
      <c r="B50" s="20">
        <v>19889</v>
      </c>
      <c r="C50" s="20">
        <v>128</v>
      </c>
      <c r="D50" s="20">
        <v>37708</v>
      </c>
      <c r="E50" s="20">
        <v>90312</v>
      </c>
      <c r="F50" s="20">
        <v>128148</v>
      </c>
      <c r="G50" s="43">
        <v>35721</v>
      </c>
    </row>
    <row r="51" spans="1:7" x14ac:dyDescent="0.2">
      <c r="A51" s="42" t="s">
        <v>190</v>
      </c>
      <c r="B51" s="20">
        <v>10786</v>
      </c>
      <c r="C51" s="20">
        <v>69</v>
      </c>
      <c r="D51" s="20">
        <v>15755</v>
      </c>
      <c r="E51" s="20">
        <v>2996</v>
      </c>
      <c r="F51" s="20">
        <v>18820</v>
      </c>
      <c r="G51" s="43">
        <v>18599</v>
      </c>
    </row>
    <row r="52" spans="1:7" x14ac:dyDescent="0.2">
      <c r="A52" s="42" t="s">
        <v>191</v>
      </c>
      <c r="B52" s="20">
        <v>139803</v>
      </c>
      <c r="C52" s="20">
        <v>898</v>
      </c>
      <c r="D52" s="20">
        <v>199426</v>
      </c>
      <c r="E52" s="20">
        <v>1691</v>
      </c>
      <c r="F52" s="20">
        <v>202015</v>
      </c>
      <c r="G52" s="43">
        <v>239262</v>
      </c>
    </row>
    <row r="53" spans="1:7" x14ac:dyDescent="0.2">
      <c r="A53" s="42" t="s">
        <v>192</v>
      </c>
      <c r="B53" s="20">
        <v>120039</v>
      </c>
      <c r="C53" s="20">
        <v>771</v>
      </c>
      <c r="D53" s="20">
        <v>172455</v>
      </c>
      <c r="E53" s="20">
        <v>18637</v>
      </c>
      <c r="F53" s="20">
        <v>191863</v>
      </c>
      <c r="G53" s="43">
        <v>205088</v>
      </c>
    </row>
    <row r="54" spans="1:7" x14ac:dyDescent="0.2">
      <c r="A54" s="42" t="s">
        <v>193</v>
      </c>
      <c r="B54" s="20">
        <v>21052</v>
      </c>
      <c r="C54" s="20">
        <v>135</v>
      </c>
      <c r="D54" s="20">
        <v>31039</v>
      </c>
      <c r="E54" s="20">
        <v>636</v>
      </c>
      <c r="F54" s="20">
        <v>31810</v>
      </c>
      <c r="G54" s="43">
        <v>37199</v>
      </c>
    </row>
    <row r="55" spans="1:7" x14ac:dyDescent="0.2">
      <c r="A55" s="42" t="s">
        <v>194</v>
      </c>
      <c r="B55" s="20">
        <v>62358</v>
      </c>
      <c r="C55" s="20">
        <v>400</v>
      </c>
      <c r="D55" s="20">
        <v>92257</v>
      </c>
      <c r="E55" s="20">
        <v>25742</v>
      </c>
      <c r="F55" s="20">
        <v>118399</v>
      </c>
      <c r="G55" s="43">
        <v>108044</v>
      </c>
    </row>
    <row r="56" spans="1:7" x14ac:dyDescent="0.2">
      <c r="A56" s="42" t="s">
        <v>195</v>
      </c>
      <c r="B56" s="20">
        <v>8285</v>
      </c>
      <c r="C56" s="20">
        <v>53</v>
      </c>
      <c r="D56" s="20">
        <v>12569</v>
      </c>
      <c r="E56" s="20">
        <v>6821</v>
      </c>
      <c r="F56" s="20">
        <v>19443</v>
      </c>
      <c r="G56" s="43">
        <v>14370</v>
      </c>
    </row>
    <row r="57" spans="1:7" x14ac:dyDescent="0.2">
      <c r="A57" s="42" t="s">
        <v>196</v>
      </c>
      <c r="B57" s="20">
        <v>0</v>
      </c>
      <c r="C57" s="20">
        <v>0</v>
      </c>
      <c r="D57" s="20">
        <v>1648</v>
      </c>
      <c r="E57" s="20">
        <v>18705</v>
      </c>
      <c r="F57" s="20">
        <v>20353</v>
      </c>
      <c r="G57" s="43">
        <v>0</v>
      </c>
    </row>
    <row r="58" spans="1:7" x14ac:dyDescent="0.2">
      <c r="A58" s="42" t="s">
        <v>197</v>
      </c>
      <c r="B58" s="20">
        <v>1832</v>
      </c>
      <c r="C58" s="20">
        <v>12</v>
      </c>
      <c r="D58" s="20">
        <v>2902</v>
      </c>
      <c r="E58" s="20">
        <v>613</v>
      </c>
      <c r="F58" s="20">
        <v>3527</v>
      </c>
      <c r="G58" s="43">
        <v>3421</v>
      </c>
    </row>
    <row r="59" spans="1:7" x14ac:dyDescent="0.2">
      <c r="A59" s="42" t="s">
        <v>198</v>
      </c>
      <c r="B59" s="20">
        <v>0</v>
      </c>
      <c r="C59" s="20">
        <v>0</v>
      </c>
      <c r="D59" s="20">
        <v>0</v>
      </c>
      <c r="E59" s="20">
        <v>0</v>
      </c>
      <c r="F59" s="20">
        <v>0</v>
      </c>
      <c r="G59" s="43">
        <v>0</v>
      </c>
    </row>
    <row r="60" spans="1:7" x14ac:dyDescent="0.2">
      <c r="A60" s="42" t="s">
        <v>199</v>
      </c>
      <c r="B60" s="20">
        <v>0</v>
      </c>
      <c r="C60" s="20">
        <v>0</v>
      </c>
      <c r="D60" s="20">
        <v>1780</v>
      </c>
      <c r="E60" s="20">
        <v>0</v>
      </c>
      <c r="F60" s="20">
        <v>1780</v>
      </c>
      <c r="G60" s="43">
        <v>2136</v>
      </c>
    </row>
    <row r="61" spans="1:7" x14ac:dyDescent="0.2">
      <c r="A61" s="42" t="s">
        <v>200</v>
      </c>
      <c r="B61" s="20">
        <v>0</v>
      </c>
      <c r="C61" s="20">
        <v>0</v>
      </c>
      <c r="D61" s="20">
        <v>0</v>
      </c>
      <c r="E61" s="20">
        <v>0</v>
      </c>
      <c r="F61" s="20">
        <v>0</v>
      </c>
      <c r="G61" s="43">
        <v>0</v>
      </c>
    </row>
    <row r="62" spans="1:7" x14ac:dyDescent="0.2">
      <c r="A62" s="42" t="s">
        <v>201</v>
      </c>
      <c r="B62" s="20">
        <v>3648</v>
      </c>
      <c r="C62" s="20">
        <v>23</v>
      </c>
      <c r="D62" s="20">
        <v>5390</v>
      </c>
      <c r="E62" s="20">
        <v>0</v>
      </c>
      <c r="F62" s="20">
        <v>5413</v>
      </c>
      <c r="G62" s="43">
        <v>6471</v>
      </c>
    </row>
    <row r="63" spans="1:7" x14ac:dyDescent="0.2">
      <c r="A63" s="42" t="s">
        <v>202</v>
      </c>
      <c r="B63" s="20">
        <v>0</v>
      </c>
      <c r="C63" s="20">
        <v>0</v>
      </c>
      <c r="D63" s="20">
        <v>0</v>
      </c>
      <c r="E63" s="20">
        <v>0</v>
      </c>
      <c r="F63" s="20">
        <v>0</v>
      </c>
      <c r="G63" s="43">
        <v>0</v>
      </c>
    </row>
    <row r="64" spans="1:7" x14ac:dyDescent="0.2">
      <c r="A64" s="42" t="s">
        <v>203</v>
      </c>
      <c r="B64" s="20">
        <v>921850</v>
      </c>
      <c r="C64" s="20">
        <v>0</v>
      </c>
      <c r="D64" s="20">
        <v>50000</v>
      </c>
      <c r="E64" s="20">
        <v>0</v>
      </c>
      <c r="F64" s="20">
        <v>50000</v>
      </c>
      <c r="G64" s="43">
        <v>0</v>
      </c>
    </row>
    <row r="65" spans="1:7" ht="15" customHeight="1" x14ac:dyDescent="0.2">
      <c r="A65" s="44" t="s">
        <v>204</v>
      </c>
      <c r="B65" s="45">
        <v>5484725</v>
      </c>
      <c r="C65" s="45">
        <v>29299</v>
      </c>
      <c r="D65" s="45">
        <v>6749906</v>
      </c>
      <c r="E65" s="45">
        <v>1135000</v>
      </c>
      <c r="F65" s="45">
        <v>7914205</v>
      </c>
      <c r="G65" s="51">
        <v>7924145</v>
      </c>
    </row>
    <row r="66" spans="1:7" ht="15" customHeight="1" x14ac:dyDescent="0.2">
      <c r="A66" s="101" t="s">
        <v>205</v>
      </c>
      <c r="B66" s="101"/>
      <c r="C66" s="101"/>
      <c r="D66" s="101"/>
      <c r="E66" s="101"/>
      <c r="F66" s="101"/>
      <c r="G66" s="101"/>
    </row>
    <row r="67" spans="1:7" ht="15" customHeight="1" x14ac:dyDescent="0.2">
      <c r="A67" s="102" t="s">
        <v>583</v>
      </c>
      <c r="B67" s="103"/>
      <c r="C67" s="103"/>
      <c r="D67" s="103"/>
      <c r="E67" s="103"/>
      <c r="F67" s="103"/>
      <c r="G67" s="103"/>
    </row>
  </sheetData>
  <mergeCells count="6">
    <mergeCell ref="A67:G67"/>
    <mergeCell ref="A4:A5"/>
    <mergeCell ref="B4:B5"/>
    <mergeCell ref="F4:F5"/>
    <mergeCell ref="G4:G5"/>
    <mergeCell ref="A66:G6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49</vt:i4>
      </vt:variant>
    </vt:vector>
  </HeadingPairs>
  <TitlesOfParts>
    <vt:vector size="49" baseType="lpstr">
      <vt:lpstr>Overview</vt:lpstr>
      <vt:lpstr>TOC</vt:lpstr>
      <vt:lpstr>Summary of Programs</vt:lpstr>
      <vt:lpstr>State Summary</vt:lpstr>
      <vt:lpstr>Table 11-5</vt:lpstr>
      <vt:lpstr>Table 11-6</vt:lpstr>
      <vt:lpstr>Table 11-7</vt:lpstr>
      <vt:lpstr>Table 11-8</vt:lpstr>
      <vt:lpstr>Table 11-9</vt:lpstr>
      <vt:lpstr>Table 11-10</vt:lpstr>
      <vt:lpstr>Table 11-11</vt:lpstr>
      <vt:lpstr>Table 11-12</vt:lpstr>
      <vt:lpstr>Table 11-13</vt:lpstr>
      <vt:lpstr>Table 11-14</vt:lpstr>
      <vt:lpstr>Table 11-15</vt:lpstr>
      <vt:lpstr>Table 11-16</vt:lpstr>
      <vt:lpstr>Table 11-17</vt:lpstr>
      <vt:lpstr>Table 11-18</vt:lpstr>
      <vt:lpstr>Table 11-19</vt:lpstr>
      <vt:lpstr>Table 11-20</vt:lpstr>
      <vt:lpstr>Table 11-21</vt:lpstr>
      <vt:lpstr>Table 11-22</vt:lpstr>
      <vt:lpstr>Table 11-23</vt:lpstr>
      <vt:lpstr>Table 11-24</vt:lpstr>
      <vt:lpstr>Table 11-25</vt:lpstr>
      <vt:lpstr>Table 11-26</vt:lpstr>
      <vt:lpstr>Table 11-27</vt:lpstr>
      <vt:lpstr>Table 11-28</vt:lpstr>
      <vt:lpstr>Table 11-29</vt:lpstr>
      <vt:lpstr>Table 11-30</vt:lpstr>
      <vt:lpstr>Table 11-31</vt:lpstr>
      <vt:lpstr>Table 11-32</vt:lpstr>
      <vt:lpstr>Table 11-33</vt:lpstr>
      <vt:lpstr>Table 11-34</vt:lpstr>
      <vt:lpstr>Table 11-35</vt:lpstr>
      <vt:lpstr>Table 11-36</vt:lpstr>
      <vt:lpstr>Table 11-37</vt:lpstr>
      <vt:lpstr>Table 11-38</vt:lpstr>
      <vt:lpstr>Table 11-39</vt:lpstr>
      <vt:lpstr>Table 11-40</vt:lpstr>
      <vt:lpstr>Table 11-41</vt:lpstr>
      <vt:lpstr>Table 11-42</vt:lpstr>
      <vt:lpstr>Table 11-43</vt:lpstr>
      <vt:lpstr>Table 11-44</vt:lpstr>
      <vt:lpstr>Table 11-45</vt:lpstr>
      <vt:lpstr>Table 11-46</vt:lpstr>
      <vt:lpstr>Table 11-47</vt:lpstr>
      <vt:lpstr>Table 11-48</vt:lpstr>
      <vt:lpstr>Table 11-49</vt:lpstr>
    </vt:vector>
  </TitlesOfParts>
  <Company>EOP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OMB</dc:creator>
  <cp:lastModifiedBy>Lauer, Eric P. EOP/OMB</cp:lastModifiedBy>
  <dcterms:created xsi:type="dcterms:W3CDTF">2021-05-24T23:36:46Z</dcterms:created>
  <dcterms:modified xsi:type="dcterms:W3CDTF">2021-06-03T17:21:28Z</dcterms:modified>
</cp:coreProperties>
</file>