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K:\photo\Bud2021\Spreadsheets\state\"/>
    </mc:Choice>
  </mc:AlternateContent>
  <xr:revisionPtr revIDLastSave="0" documentId="8_{5F2871B0-F1FC-46A3-B427-88F8DA6DB347}" xr6:coauthVersionLast="36" xr6:coauthVersionMax="36" xr10:uidLastSave="{00000000-0000-0000-0000-000000000000}"/>
  <bookViews>
    <workbookView xWindow="0" yWindow="0" windowWidth="11490" windowHeight="6525" tabRatio="801" xr2:uid="{00000000-000D-0000-FFFF-FFFF00000000}"/>
  </bookViews>
  <sheets>
    <sheet name="Overview" sheetId="38" r:id="rId1"/>
    <sheet name="TOC" sheetId="1" r:id="rId2"/>
    <sheet name="Summary of Programs" sheetId="39" r:id="rId3"/>
    <sheet name="State Summary" sheetId="40" r:id="rId4"/>
    <sheet name="Table 14-5" sheetId="2" r:id="rId5"/>
    <sheet name="Table 14-6" sheetId="3" r:id="rId6"/>
    <sheet name="Table 14-7" sheetId="4" r:id="rId7"/>
    <sheet name="Table 14-8" sheetId="5" r:id="rId8"/>
    <sheet name="Table 14-9" sheetId="6" r:id="rId9"/>
    <sheet name="Table 14-10" sheetId="7" r:id="rId10"/>
    <sheet name="Table 14-11" sheetId="8" r:id="rId11"/>
    <sheet name="Table 14-12" sheetId="9" r:id="rId12"/>
    <sheet name="Table 14-13" sheetId="10" r:id="rId13"/>
    <sheet name="Table 14-14" sheetId="11" r:id="rId14"/>
    <sheet name="Table 14-15" sheetId="12" r:id="rId15"/>
    <sheet name="Table 14-16" sheetId="13" r:id="rId16"/>
    <sheet name="Table 14-17" sheetId="14" r:id="rId17"/>
    <sheet name="Table 14-18" sheetId="15" r:id="rId18"/>
    <sheet name="Table 14-19" sheetId="16" r:id="rId19"/>
    <sheet name="Table 14-20" sheetId="17" r:id="rId20"/>
    <sheet name="Table 14-21" sheetId="18" r:id="rId21"/>
    <sheet name="Table 14-22" sheetId="19" r:id="rId22"/>
    <sheet name="Table 14-23" sheetId="20" r:id="rId23"/>
    <sheet name="Table 14-24" sheetId="21" r:id="rId24"/>
    <sheet name="Table 14-25" sheetId="22" r:id="rId25"/>
    <sheet name="Table 14-26" sheetId="23" r:id="rId26"/>
    <sheet name="Table 14-27" sheetId="24" r:id="rId27"/>
    <sheet name="Table 14-28" sheetId="25" r:id="rId28"/>
    <sheet name="Table 14-29" sheetId="26" r:id="rId29"/>
    <sheet name="Table 14-30" sheetId="27" r:id="rId30"/>
    <sheet name="Table 14-31" sheetId="28" r:id="rId31"/>
    <sheet name="Table 14-32" sheetId="29" r:id="rId32"/>
    <sheet name="Table 14-33" sheetId="30" r:id="rId33"/>
    <sheet name="Table 14-34" sheetId="31" r:id="rId34"/>
    <sheet name="Table 14-35" sheetId="32" r:id="rId35"/>
    <sheet name="Table 14-36" sheetId="33" r:id="rId36"/>
    <sheet name="Table 14-37" sheetId="34" r:id="rId37"/>
    <sheet name="Table 14-38" sheetId="35" r:id="rId38"/>
    <sheet name="Table 14-39" sheetId="36" r:id="rId39"/>
    <sheet name="Table 14-40" sheetId="37" r:id="rId40"/>
  </sheets>
  <calcPr calcId="191029"/>
</workbook>
</file>

<file path=xl/calcChain.xml><?xml version="1.0" encoding="utf-8"?>
<calcChain xmlns="http://schemas.openxmlformats.org/spreadsheetml/2006/main">
  <c r="F66" i="40" l="1"/>
  <c r="D66" i="40"/>
  <c r="C66" i="40"/>
  <c r="E66" i="40" s="1"/>
  <c r="B66" i="40"/>
  <c r="F63" i="40"/>
  <c r="D63" i="40"/>
  <c r="C63" i="40"/>
  <c r="E63" i="40" s="1"/>
  <c r="B63" i="40"/>
  <c r="F62" i="40"/>
  <c r="D62" i="40"/>
  <c r="C62" i="40"/>
  <c r="E62" i="40" s="1"/>
  <c r="B62" i="40"/>
  <c r="F61" i="40"/>
  <c r="D61" i="40"/>
  <c r="C61" i="40"/>
  <c r="E61" i="40" s="1"/>
  <c r="B61" i="40"/>
  <c r="F60" i="40"/>
  <c r="D60" i="40"/>
  <c r="C60" i="40"/>
  <c r="E60" i="40" s="1"/>
  <c r="B60" i="40"/>
  <c r="F59" i="40"/>
  <c r="D59" i="40"/>
  <c r="C59" i="40"/>
  <c r="E59" i="40" s="1"/>
  <c r="B59" i="40"/>
  <c r="F58" i="40"/>
  <c r="D58" i="40"/>
  <c r="C58" i="40"/>
  <c r="E58" i="40" s="1"/>
  <c r="B58" i="40"/>
  <c r="F57" i="40"/>
  <c r="D57" i="40"/>
  <c r="C57" i="40"/>
  <c r="E57" i="40" s="1"/>
  <c r="B57" i="40"/>
  <c r="F56" i="40"/>
  <c r="D56" i="40"/>
  <c r="C56" i="40"/>
  <c r="E56" i="40" s="1"/>
  <c r="B56" i="40"/>
  <c r="F55" i="40"/>
  <c r="D55" i="40"/>
  <c r="C55" i="40"/>
  <c r="E55" i="40" s="1"/>
  <c r="B55" i="40"/>
  <c r="F54" i="40"/>
  <c r="D54" i="40"/>
  <c r="C54" i="40"/>
  <c r="E54" i="40" s="1"/>
  <c r="B54" i="40"/>
  <c r="F53" i="40"/>
  <c r="D53" i="40"/>
  <c r="C53" i="40"/>
  <c r="E53" i="40" s="1"/>
  <c r="B53" i="40"/>
  <c r="F52" i="40"/>
  <c r="D52" i="40"/>
  <c r="C52" i="40"/>
  <c r="E52" i="40" s="1"/>
  <c r="B52" i="40"/>
  <c r="F51" i="40"/>
  <c r="D51" i="40"/>
  <c r="C51" i="40"/>
  <c r="E51" i="40" s="1"/>
  <c r="B51" i="40"/>
  <c r="F50" i="40"/>
  <c r="D50" i="40"/>
  <c r="C50" i="40"/>
  <c r="E50" i="40" s="1"/>
  <c r="B50" i="40"/>
  <c r="F49" i="40"/>
  <c r="D49" i="40"/>
  <c r="C49" i="40"/>
  <c r="E49" i="40" s="1"/>
  <c r="B49" i="40"/>
  <c r="F48" i="40"/>
  <c r="D48" i="40"/>
  <c r="C48" i="40"/>
  <c r="E48" i="40" s="1"/>
  <c r="B48" i="40"/>
  <c r="F47" i="40"/>
  <c r="D47" i="40"/>
  <c r="C47" i="40"/>
  <c r="E47" i="40" s="1"/>
  <c r="B47" i="40"/>
  <c r="F46" i="40"/>
  <c r="D46" i="40"/>
  <c r="C46" i="40"/>
  <c r="E46" i="40" s="1"/>
  <c r="B46" i="40"/>
  <c r="F45" i="40"/>
  <c r="D45" i="40"/>
  <c r="C45" i="40"/>
  <c r="E45" i="40" s="1"/>
  <c r="B45" i="40"/>
  <c r="F44" i="40"/>
  <c r="D44" i="40"/>
  <c r="C44" i="40"/>
  <c r="E44" i="40" s="1"/>
  <c r="B44" i="40"/>
  <c r="F43" i="40"/>
  <c r="D43" i="40"/>
  <c r="C43" i="40"/>
  <c r="E43" i="40" s="1"/>
  <c r="B43" i="40"/>
  <c r="F42" i="40"/>
  <c r="D42" i="40"/>
  <c r="C42" i="40"/>
  <c r="E42" i="40" s="1"/>
  <c r="B42" i="40"/>
  <c r="F41" i="40"/>
  <c r="D41" i="40"/>
  <c r="C41" i="40"/>
  <c r="E41" i="40" s="1"/>
  <c r="B41" i="40"/>
  <c r="F40" i="40"/>
  <c r="D40" i="40"/>
  <c r="C40" i="40"/>
  <c r="E40" i="40" s="1"/>
  <c r="B40" i="40"/>
  <c r="F39" i="40"/>
  <c r="D39" i="40"/>
  <c r="C39" i="40"/>
  <c r="E39" i="40" s="1"/>
  <c r="B39" i="40"/>
  <c r="F38" i="40"/>
  <c r="D38" i="40"/>
  <c r="C38" i="40"/>
  <c r="E38" i="40" s="1"/>
  <c r="B38" i="40"/>
  <c r="F37" i="40"/>
  <c r="D37" i="40"/>
  <c r="C37" i="40"/>
  <c r="E37" i="40" s="1"/>
  <c r="B37" i="40"/>
  <c r="F36" i="40"/>
  <c r="D36" i="40"/>
  <c r="C36" i="40"/>
  <c r="E36" i="40" s="1"/>
  <c r="B36" i="40"/>
  <c r="F35" i="40"/>
  <c r="D35" i="40"/>
  <c r="C35" i="40"/>
  <c r="E35" i="40" s="1"/>
  <c r="B35" i="40"/>
  <c r="F34" i="40"/>
  <c r="D34" i="40"/>
  <c r="C34" i="40"/>
  <c r="E34" i="40" s="1"/>
  <c r="B34" i="40"/>
  <c r="F33" i="40"/>
  <c r="D33" i="40"/>
  <c r="C33" i="40"/>
  <c r="E33" i="40" s="1"/>
  <c r="B33" i="40"/>
  <c r="F32" i="40"/>
  <c r="D32" i="40"/>
  <c r="C32" i="40"/>
  <c r="E32" i="40" s="1"/>
  <c r="B32" i="40"/>
  <c r="F31" i="40"/>
  <c r="D31" i="40"/>
  <c r="C31" i="40"/>
  <c r="E31" i="40" s="1"/>
  <c r="B31" i="40"/>
  <c r="F30" i="40"/>
  <c r="D30" i="40"/>
  <c r="C30" i="40"/>
  <c r="E30" i="40" s="1"/>
  <c r="B30" i="40"/>
  <c r="F29" i="40"/>
  <c r="D29" i="40"/>
  <c r="C29" i="40"/>
  <c r="E29" i="40" s="1"/>
  <c r="B29" i="40"/>
  <c r="F28" i="40"/>
  <c r="D28" i="40"/>
  <c r="C28" i="40"/>
  <c r="E28" i="40" s="1"/>
  <c r="B28" i="40"/>
  <c r="F27" i="40"/>
  <c r="D27" i="40"/>
  <c r="C27" i="40"/>
  <c r="E27" i="40" s="1"/>
  <c r="B27" i="40"/>
  <c r="F26" i="40"/>
  <c r="D26" i="40"/>
  <c r="C26" i="40"/>
  <c r="E26" i="40" s="1"/>
  <c r="B26" i="40"/>
  <c r="F25" i="40"/>
  <c r="D25" i="40"/>
  <c r="C25" i="40"/>
  <c r="E25" i="40" s="1"/>
  <c r="B25" i="40"/>
  <c r="F24" i="40"/>
  <c r="D24" i="40"/>
  <c r="C24" i="40"/>
  <c r="E24" i="40" s="1"/>
  <c r="B24" i="40"/>
  <c r="F23" i="40"/>
  <c r="D23" i="40"/>
  <c r="C23" i="40"/>
  <c r="E23" i="40" s="1"/>
  <c r="B23" i="40"/>
  <c r="F22" i="40"/>
  <c r="D22" i="40"/>
  <c r="C22" i="40"/>
  <c r="E22" i="40" s="1"/>
  <c r="B22" i="40"/>
  <c r="F21" i="40"/>
  <c r="D21" i="40"/>
  <c r="C21" i="40"/>
  <c r="E21" i="40" s="1"/>
  <c r="B21" i="40"/>
  <c r="F20" i="40"/>
  <c r="D20" i="40"/>
  <c r="C20" i="40"/>
  <c r="E20" i="40" s="1"/>
  <c r="B20" i="40"/>
  <c r="F19" i="40"/>
  <c r="D19" i="40"/>
  <c r="C19" i="40"/>
  <c r="E19" i="40" s="1"/>
  <c r="B19" i="40"/>
  <c r="F18" i="40"/>
  <c r="D18" i="40"/>
  <c r="C18" i="40"/>
  <c r="E18" i="40" s="1"/>
  <c r="B18" i="40"/>
  <c r="F17" i="40"/>
  <c r="D17" i="40"/>
  <c r="C17" i="40"/>
  <c r="E17" i="40" s="1"/>
  <c r="B17" i="40"/>
  <c r="F16" i="40"/>
  <c r="D16" i="40"/>
  <c r="C16" i="40"/>
  <c r="E16" i="40" s="1"/>
  <c r="B16" i="40"/>
  <c r="F15" i="40"/>
  <c r="D15" i="40"/>
  <c r="C15" i="40"/>
  <c r="E15" i="40" s="1"/>
  <c r="B15" i="40"/>
  <c r="F14" i="40"/>
  <c r="D14" i="40"/>
  <c r="C14" i="40"/>
  <c r="E14" i="40" s="1"/>
  <c r="B14" i="40"/>
  <c r="F13" i="40"/>
  <c r="D13" i="40"/>
  <c r="C13" i="40"/>
  <c r="E13" i="40" s="1"/>
  <c r="B13" i="40"/>
  <c r="F12" i="40"/>
  <c r="D12" i="40"/>
  <c r="C12" i="40"/>
  <c r="E12" i="40" s="1"/>
  <c r="B12" i="40"/>
  <c r="F11" i="40"/>
  <c r="D11" i="40"/>
  <c r="C11" i="40"/>
  <c r="E11" i="40" s="1"/>
  <c r="B11" i="40"/>
  <c r="F10" i="40"/>
  <c r="D10" i="40"/>
  <c r="C10" i="40"/>
  <c r="E10" i="40" s="1"/>
  <c r="B10" i="40"/>
  <c r="F9" i="40"/>
  <c r="D9" i="40"/>
  <c r="C9" i="40"/>
  <c r="E9" i="40" s="1"/>
  <c r="B9" i="40"/>
  <c r="F8" i="40"/>
  <c r="D8" i="40"/>
  <c r="C8" i="40"/>
  <c r="E8" i="40" s="1"/>
  <c r="B8" i="40"/>
  <c r="F7" i="40"/>
  <c r="D7" i="40"/>
  <c r="C7" i="40"/>
  <c r="E7" i="40" s="1"/>
  <c r="B7" i="40"/>
  <c r="F6" i="40"/>
  <c r="F64" i="40" s="1"/>
  <c r="D6" i="40"/>
  <c r="D64" i="40" s="1"/>
  <c r="D67" i="40" s="1"/>
  <c r="C6" i="40"/>
  <c r="E6" i="40" s="1"/>
  <c r="B6" i="40"/>
  <c r="B64" i="40" s="1"/>
  <c r="B67" i="40" s="1"/>
  <c r="F55" i="39"/>
  <c r="D55" i="39"/>
  <c r="C55" i="39"/>
  <c r="E55" i="39" s="1"/>
  <c r="B55" i="39"/>
  <c r="F53" i="39"/>
  <c r="E53" i="39"/>
  <c r="D53" i="39"/>
  <c r="C53" i="39"/>
  <c r="B53" i="39"/>
  <c r="F52" i="39"/>
  <c r="D52" i="39"/>
  <c r="C52" i="39"/>
  <c r="E52" i="39" s="1"/>
  <c r="B52" i="39"/>
  <c r="F50" i="39"/>
  <c r="D50" i="39"/>
  <c r="C50" i="39"/>
  <c r="E50" i="39" s="1"/>
  <c r="B50" i="39"/>
  <c r="F48" i="39"/>
  <c r="D48" i="39"/>
  <c r="C48" i="39"/>
  <c r="E48" i="39" s="1"/>
  <c r="B48" i="39"/>
  <c r="F46" i="39"/>
  <c r="D46" i="39"/>
  <c r="C46" i="39"/>
  <c r="E46" i="39" s="1"/>
  <c r="B46" i="39"/>
  <c r="F44" i="39"/>
  <c r="D44" i="39"/>
  <c r="C44" i="39"/>
  <c r="E44" i="39" s="1"/>
  <c r="B44" i="39"/>
  <c r="F42" i="39"/>
  <c r="D42" i="39"/>
  <c r="C42" i="39"/>
  <c r="E42" i="39" s="1"/>
  <c r="B42" i="39"/>
  <c r="F41" i="39"/>
  <c r="D41" i="39"/>
  <c r="E41" i="39" s="1"/>
  <c r="C41" i="39"/>
  <c r="B41" i="39"/>
  <c r="F40" i="39"/>
  <c r="D40" i="39"/>
  <c r="C40" i="39"/>
  <c r="E40" i="39" s="1"/>
  <c r="B40" i="39"/>
  <c r="F38" i="39"/>
  <c r="D38" i="39"/>
  <c r="C38" i="39"/>
  <c r="E38" i="39" s="1"/>
  <c r="B38" i="39"/>
  <c r="F37" i="39"/>
  <c r="D37" i="39"/>
  <c r="C37" i="39"/>
  <c r="E37" i="39" s="1"/>
  <c r="B37" i="39"/>
  <c r="F35" i="39"/>
  <c r="D35" i="39"/>
  <c r="C35" i="39"/>
  <c r="E35" i="39" s="1"/>
  <c r="B35" i="39"/>
  <c r="F33" i="39"/>
  <c r="E33" i="39"/>
  <c r="D33" i="39"/>
  <c r="C33" i="39"/>
  <c r="B33" i="39"/>
  <c r="F31" i="39"/>
  <c r="D31" i="39"/>
  <c r="C31" i="39"/>
  <c r="E31" i="39" s="1"/>
  <c r="B31" i="39"/>
  <c r="F30" i="39"/>
  <c r="D30" i="39"/>
  <c r="C30" i="39"/>
  <c r="E30" i="39" s="1"/>
  <c r="B30" i="39"/>
  <c r="F28" i="39"/>
  <c r="D28" i="39"/>
  <c r="C28" i="39"/>
  <c r="E28" i="39" s="1"/>
  <c r="B28" i="39"/>
  <c r="F27" i="39"/>
  <c r="D27" i="39"/>
  <c r="C27" i="39"/>
  <c r="E27" i="39" s="1"/>
  <c r="B27" i="39"/>
  <c r="F26" i="39"/>
  <c r="D26" i="39"/>
  <c r="C26" i="39"/>
  <c r="E26" i="39" s="1"/>
  <c r="B26" i="39"/>
  <c r="F25" i="39"/>
  <c r="D25" i="39"/>
  <c r="C25" i="39"/>
  <c r="E25" i="39" s="1"/>
  <c r="B25" i="39"/>
  <c r="F24" i="39"/>
  <c r="D24" i="39"/>
  <c r="E24" i="39" s="1"/>
  <c r="C24" i="39"/>
  <c r="B24" i="39"/>
  <c r="F23" i="39"/>
  <c r="D23" i="39"/>
  <c r="C23" i="39"/>
  <c r="E23" i="39" s="1"/>
  <c r="B23" i="39"/>
  <c r="F22" i="39"/>
  <c r="D22" i="39"/>
  <c r="C22" i="39"/>
  <c r="E22" i="39" s="1"/>
  <c r="B22" i="39"/>
  <c r="F21" i="39"/>
  <c r="D21" i="39"/>
  <c r="C21" i="39"/>
  <c r="E21" i="39" s="1"/>
  <c r="B21" i="39"/>
  <c r="F20" i="39"/>
  <c r="D20" i="39"/>
  <c r="C20" i="39"/>
  <c r="E20" i="39" s="1"/>
  <c r="B20" i="39"/>
  <c r="F19" i="39"/>
  <c r="E19" i="39"/>
  <c r="D19" i="39"/>
  <c r="C19" i="39"/>
  <c r="B19" i="39"/>
  <c r="F17" i="39"/>
  <c r="D17" i="39"/>
  <c r="C17" i="39"/>
  <c r="E17" i="39" s="1"/>
  <c r="B17" i="39"/>
  <c r="F16" i="39"/>
  <c r="D16" i="39"/>
  <c r="C16" i="39"/>
  <c r="E16" i="39" s="1"/>
  <c r="B16" i="39"/>
  <c r="F15" i="39"/>
  <c r="D15" i="39"/>
  <c r="C15" i="39"/>
  <c r="E15" i="39" s="1"/>
  <c r="B15" i="39"/>
  <c r="F13" i="39"/>
  <c r="D13" i="39"/>
  <c r="C13" i="39"/>
  <c r="E13" i="39" s="1"/>
  <c r="B13" i="39"/>
  <c r="F12" i="39"/>
  <c r="D12" i="39"/>
  <c r="C12" i="39"/>
  <c r="E12" i="39" s="1"/>
  <c r="B12" i="39"/>
  <c r="F10" i="39"/>
  <c r="D10" i="39"/>
  <c r="C10" i="39"/>
  <c r="E10" i="39" s="1"/>
  <c r="B10" i="39"/>
  <c r="F9" i="39"/>
  <c r="D9" i="39"/>
  <c r="E9" i="39" s="1"/>
  <c r="C9" i="39"/>
  <c r="B9" i="39"/>
  <c r="F8" i="39"/>
  <c r="D8" i="39"/>
  <c r="C8" i="39"/>
  <c r="E8" i="39" s="1"/>
  <c r="B8" i="39"/>
  <c r="F7" i="39"/>
  <c r="D7" i="39"/>
  <c r="C7" i="39"/>
  <c r="E7" i="39" s="1"/>
  <c r="B7" i="39"/>
  <c r="F6" i="39"/>
  <c r="F56" i="39" s="1"/>
  <c r="D6" i="39"/>
  <c r="D56" i="39" s="1"/>
  <c r="C6" i="39"/>
  <c r="E6" i="39" s="1"/>
  <c r="B6" i="39"/>
  <c r="B56" i="39" s="1"/>
  <c r="F67" i="40" l="1"/>
  <c r="G63" i="40"/>
  <c r="G61" i="40"/>
  <c r="G59" i="40"/>
  <c r="G57" i="40"/>
  <c r="G55" i="40"/>
  <c r="G53" i="40"/>
  <c r="G51" i="40"/>
  <c r="G49" i="40"/>
  <c r="G47" i="40"/>
  <c r="G45" i="40"/>
  <c r="G43" i="40"/>
  <c r="G41" i="40"/>
  <c r="G39" i="40"/>
  <c r="G37" i="40"/>
  <c r="G35" i="40"/>
  <c r="G33" i="40"/>
  <c r="G31" i="40"/>
  <c r="G29" i="40"/>
  <c r="G27" i="40"/>
  <c r="G25" i="40"/>
  <c r="G23" i="40"/>
  <c r="G21" i="40"/>
  <c r="G19" i="40"/>
  <c r="G17" i="40"/>
  <c r="G15" i="40"/>
  <c r="G13" i="40"/>
  <c r="G11" i="40"/>
  <c r="G9" i="40"/>
  <c r="G7" i="40"/>
  <c r="G62" i="40"/>
  <c r="G60" i="40"/>
  <c r="G58" i="40"/>
  <c r="G56" i="40"/>
  <c r="G54" i="40"/>
  <c r="G52" i="40"/>
  <c r="G50" i="40"/>
  <c r="G48" i="40"/>
  <c r="G46" i="40"/>
  <c r="G44" i="40"/>
  <c r="G42" i="40"/>
  <c r="G40" i="40"/>
  <c r="G38" i="40"/>
  <c r="G36" i="40"/>
  <c r="G34" i="40"/>
  <c r="G32" i="40"/>
  <c r="G30" i="40"/>
  <c r="G28" i="40"/>
  <c r="G26" i="40"/>
  <c r="G24" i="40"/>
  <c r="G22" i="40"/>
  <c r="G20" i="40"/>
  <c r="G18" i="40"/>
  <c r="G16" i="40"/>
  <c r="G14" i="40"/>
  <c r="G12" i="40"/>
  <c r="G10" i="40"/>
  <c r="G8" i="40"/>
  <c r="G6" i="40"/>
  <c r="E64" i="40"/>
  <c r="E67" i="40" s="1"/>
  <c r="C64" i="40"/>
  <c r="C67" i="40" s="1"/>
  <c r="E56" i="39"/>
  <c r="C56" i="39"/>
  <c r="G64" i="40" l="1"/>
  <c r="F65" i="34" l="1"/>
  <c r="D65" i="34"/>
  <c r="C65" i="34"/>
  <c r="E65" i="34" s="1"/>
  <c r="B65"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D65" i="28"/>
  <c r="C65" i="28"/>
  <c r="E65" i="28" s="1"/>
  <c r="B65" i="28"/>
  <c r="D68" i="23"/>
  <c r="C68" i="23"/>
  <c r="B68" i="23"/>
  <c r="F65" i="37" l="1"/>
  <c r="D65" i="37"/>
  <c r="C65" i="37"/>
  <c r="E65" i="37" s="1"/>
  <c r="B65" i="37"/>
  <c r="G63" i="37"/>
  <c r="G62" i="37"/>
  <c r="G61" i="37"/>
  <c r="G60" i="37"/>
  <c r="G59" i="37"/>
  <c r="G58" i="37"/>
  <c r="G57" i="37"/>
  <c r="G56" i="37"/>
  <c r="G55" i="37"/>
  <c r="G54" i="37"/>
  <c r="G53" i="37"/>
  <c r="G52" i="37"/>
  <c r="G51" i="37"/>
  <c r="G50" i="37"/>
  <c r="G49" i="37"/>
  <c r="G48" i="37"/>
  <c r="G47" i="37"/>
  <c r="G46" i="37"/>
  <c r="G45" i="37"/>
  <c r="G44" i="37"/>
  <c r="G43" i="37"/>
  <c r="G42" i="37"/>
  <c r="G41" i="37"/>
  <c r="G40" i="37"/>
  <c r="G39" i="37"/>
  <c r="G38" i="37"/>
  <c r="G37" i="37"/>
  <c r="G36" i="37"/>
  <c r="G35" i="37"/>
  <c r="G34" i="37"/>
  <c r="G33" i="37"/>
  <c r="G32" i="37"/>
  <c r="G31" i="37"/>
  <c r="G30" i="37"/>
  <c r="G29" i="37"/>
  <c r="G28" i="37"/>
  <c r="G27" i="37"/>
  <c r="G26" i="37"/>
  <c r="G25" i="37"/>
  <c r="G24" i="37"/>
  <c r="G23" i="37"/>
  <c r="G22" i="37"/>
  <c r="G21" i="37"/>
  <c r="G20" i="37"/>
  <c r="G19" i="37"/>
  <c r="G18" i="37"/>
  <c r="G17" i="37"/>
  <c r="G16" i="37"/>
  <c r="G15" i="37"/>
  <c r="G14" i="37"/>
  <c r="G13" i="37"/>
  <c r="G12" i="37"/>
  <c r="G11" i="37"/>
  <c r="G10" i="37"/>
  <c r="G9" i="37"/>
  <c r="G8" i="37"/>
  <c r="G7" i="37"/>
  <c r="G6" i="37"/>
  <c r="F70" i="36"/>
  <c r="G12" i="36" s="1"/>
  <c r="D70" i="36"/>
  <c r="C70" i="36"/>
  <c r="E70" i="36" s="1"/>
  <c r="B70" i="36"/>
  <c r="G66" i="36"/>
  <c r="G60" i="36"/>
  <c r="G53" i="36"/>
  <c r="G48" i="36"/>
  <c r="G41" i="36"/>
  <c r="G36" i="36"/>
  <c r="G17" i="36"/>
  <c r="F69" i="35"/>
  <c r="D69" i="35"/>
  <c r="C69" i="35"/>
  <c r="E69" i="35" s="1"/>
  <c r="B69" i="35"/>
  <c r="G62" i="35"/>
  <c r="G48" i="35"/>
  <c r="G38" i="35"/>
  <c r="G26" i="35"/>
  <c r="F65" i="33"/>
  <c r="G57" i="33" s="1"/>
  <c r="D65" i="33"/>
  <c r="C65" i="33"/>
  <c r="B65" i="33"/>
  <c r="G60" i="33"/>
  <c r="G52" i="33"/>
  <c r="G36" i="33"/>
  <c r="G19" i="33"/>
  <c r="G12" i="33"/>
  <c r="E65" i="32"/>
  <c r="D65" i="32"/>
  <c r="C65" i="32"/>
  <c r="F67" i="31"/>
  <c r="G66" i="31" s="1"/>
  <c r="D67" i="31"/>
  <c r="C67" i="31"/>
  <c r="B67" i="31"/>
  <c r="G65" i="31"/>
  <c r="G62" i="31"/>
  <c r="G60" i="31"/>
  <c r="G59" i="31"/>
  <c r="G56" i="31"/>
  <c r="G52" i="31"/>
  <c r="G48" i="31"/>
  <c r="G46" i="31"/>
  <c r="G44" i="31"/>
  <c r="G40" i="31"/>
  <c r="G38" i="31"/>
  <c r="G36" i="31"/>
  <c r="G35" i="31"/>
  <c r="G32" i="31"/>
  <c r="G28" i="31"/>
  <c r="G24" i="31"/>
  <c r="G22" i="31"/>
  <c r="G20" i="31"/>
  <c r="G17" i="31"/>
  <c r="G16" i="31"/>
  <c r="G14" i="31"/>
  <c r="G12" i="31"/>
  <c r="G11" i="31"/>
  <c r="G8" i="31"/>
  <c r="G6" i="31"/>
  <c r="F65" i="30"/>
  <c r="G57" i="30" s="1"/>
  <c r="D65" i="30"/>
  <c r="C65" i="30"/>
  <c r="B65" i="30"/>
  <c r="G48" i="30"/>
  <c r="G47" i="30"/>
  <c r="G44" i="30"/>
  <c r="G23" i="30"/>
  <c r="G22" i="30"/>
  <c r="G21" i="30"/>
  <c r="D65" i="29"/>
  <c r="C65" i="29"/>
  <c r="B65" i="29"/>
  <c r="F65" i="27"/>
  <c r="G48" i="27" s="1"/>
  <c r="D65" i="27"/>
  <c r="C65" i="27"/>
  <c r="E65" i="27" s="1"/>
  <c r="B65" i="27"/>
  <c r="G59" i="27"/>
  <c r="G49" i="27"/>
  <c r="G11" i="27"/>
  <c r="F65" i="26"/>
  <c r="G58" i="26" s="1"/>
  <c r="D65" i="26"/>
  <c r="C65" i="26"/>
  <c r="E65" i="26" s="1"/>
  <c r="B65" i="26"/>
  <c r="G59" i="26"/>
  <c r="G57" i="26"/>
  <c r="G50" i="26"/>
  <c r="G41" i="26"/>
  <c r="G39" i="26"/>
  <c r="G36" i="26"/>
  <c r="G32" i="26"/>
  <c r="G30" i="26"/>
  <c r="G27" i="26"/>
  <c r="G23" i="26"/>
  <c r="G20" i="26"/>
  <c r="G14" i="26"/>
  <c r="F65" i="25"/>
  <c r="G51" i="25" s="1"/>
  <c r="D65" i="25"/>
  <c r="C65" i="25"/>
  <c r="B65" i="25"/>
  <c r="F67" i="24"/>
  <c r="G60" i="24" s="1"/>
  <c r="D67" i="24"/>
  <c r="C67" i="24"/>
  <c r="B67" i="24"/>
  <c r="G66" i="24"/>
  <c r="G65" i="24"/>
  <c r="G59" i="24"/>
  <c r="G56" i="24"/>
  <c r="G55" i="24"/>
  <c r="G51" i="24"/>
  <c r="G50" i="24"/>
  <c r="G49" i="24"/>
  <c r="G48" i="24"/>
  <c r="G47" i="24"/>
  <c r="G46" i="24"/>
  <c r="G41" i="24"/>
  <c r="G38" i="24"/>
  <c r="G36" i="24"/>
  <c r="G33" i="24"/>
  <c r="G32" i="24"/>
  <c r="G31" i="24"/>
  <c r="G30" i="24"/>
  <c r="G28" i="24"/>
  <c r="G27" i="24"/>
  <c r="G24" i="24"/>
  <c r="G20" i="24"/>
  <c r="G19" i="24"/>
  <c r="G18" i="24"/>
  <c r="G16" i="24"/>
  <c r="G15" i="24"/>
  <c r="G14" i="24"/>
  <c r="G12" i="24"/>
  <c r="G11" i="24"/>
  <c r="G9" i="24"/>
  <c r="F65" i="22"/>
  <c r="G58" i="22" s="1"/>
  <c r="D65" i="22"/>
  <c r="E65" i="22" s="1"/>
  <c r="C65" i="22"/>
  <c r="B65" i="22"/>
  <c r="G59" i="22"/>
  <c r="G48" i="22"/>
  <c r="G32" i="22"/>
  <c r="G30" i="22"/>
  <c r="G24" i="22"/>
  <c r="G22" i="22"/>
  <c r="G8" i="22"/>
  <c r="F72" i="21"/>
  <c r="G63" i="21" s="1"/>
  <c r="D72" i="21"/>
  <c r="C72" i="21"/>
  <c r="B72" i="21"/>
  <c r="G71" i="21"/>
  <c r="G70" i="21"/>
  <c r="G69" i="21"/>
  <c r="G68" i="21"/>
  <c r="G67" i="21"/>
  <c r="G66" i="21"/>
  <c r="G65" i="21"/>
  <c r="G62" i="21"/>
  <c r="G61" i="21"/>
  <c r="G60" i="21"/>
  <c r="G59" i="21"/>
  <c r="G58" i="21"/>
  <c r="G57" i="21"/>
  <c r="G56" i="21"/>
  <c r="G55" i="21"/>
  <c r="G54" i="21"/>
  <c r="G53" i="21"/>
  <c r="G52" i="21"/>
  <c r="G50" i="21"/>
  <c r="G49" i="21"/>
  <c r="G48" i="21"/>
  <c r="G47" i="21"/>
  <c r="G46" i="21"/>
  <c r="G45" i="21"/>
  <c r="G44" i="21"/>
  <c r="G43" i="21"/>
  <c r="G42" i="21"/>
  <c r="G41" i="21"/>
  <c r="G40" i="21"/>
  <c r="G38" i="21"/>
  <c r="G37" i="21"/>
  <c r="G36" i="21"/>
  <c r="G35" i="21"/>
  <c r="G34" i="21"/>
  <c r="G33" i="21"/>
  <c r="G32" i="21"/>
  <c r="G31" i="21"/>
  <c r="G30" i="21"/>
  <c r="G29" i="21"/>
  <c r="G28" i="21"/>
  <c r="G26" i="21"/>
  <c r="G25" i="21"/>
  <c r="G24" i="21"/>
  <c r="G23" i="21"/>
  <c r="G22" i="21"/>
  <c r="G21" i="21"/>
  <c r="G20" i="21"/>
  <c r="G19" i="21"/>
  <c r="G18" i="21"/>
  <c r="G17" i="21"/>
  <c r="G16" i="21"/>
  <c r="G14" i="21"/>
  <c r="G13" i="21"/>
  <c r="G12" i="21"/>
  <c r="G11" i="21"/>
  <c r="G10" i="21"/>
  <c r="G9" i="21"/>
  <c r="G8" i="21"/>
  <c r="G7" i="21"/>
  <c r="G6" i="21"/>
  <c r="D71" i="20"/>
  <c r="C71" i="20"/>
  <c r="E71" i="20" s="1"/>
  <c r="B71" i="20"/>
  <c r="D71" i="19"/>
  <c r="C71" i="19"/>
  <c r="B71" i="19"/>
  <c r="D71" i="18"/>
  <c r="C71" i="18"/>
  <c r="F71" i="17"/>
  <c r="G66" i="17" s="1"/>
  <c r="D71" i="17"/>
  <c r="C71" i="17"/>
  <c r="E71" i="17" s="1"/>
  <c r="B71" i="17"/>
  <c r="G60" i="17"/>
  <c r="G51" i="17"/>
  <c r="G50" i="17"/>
  <c r="G49" i="17"/>
  <c r="G48" i="17"/>
  <c r="G44" i="17"/>
  <c r="G40" i="17"/>
  <c r="G38" i="17"/>
  <c r="G34" i="17"/>
  <c r="G26" i="17"/>
  <c r="G25" i="17"/>
  <c r="G24" i="17"/>
  <c r="G18" i="17"/>
  <c r="G17" i="17"/>
  <c r="G16" i="17"/>
  <c r="G14" i="17"/>
  <c r="G8" i="17"/>
  <c r="F71" i="16"/>
  <c r="G65" i="16" s="1"/>
  <c r="E71" i="16"/>
  <c r="D71" i="16"/>
  <c r="C71" i="16"/>
  <c r="B71" i="16"/>
  <c r="G68" i="16"/>
  <c r="G66" i="16"/>
  <c r="G58" i="16"/>
  <c r="G56" i="16"/>
  <c r="G47" i="16"/>
  <c r="G38" i="16"/>
  <c r="G31" i="16"/>
  <c r="G29" i="16"/>
  <c r="G22" i="16"/>
  <c r="G19" i="16"/>
  <c r="G13" i="16"/>
  <c r="G10" i="16"/>
  <c r="F71" i="15"/>
  <c r="G43" i="15" s="1"/>
  <c r="D71" i="15"/>
  <c r="C71" i="15"/>
  <c r="B71" i="15"/>
  <c r="G27" i="15"/>
  <c r="G26" i="15"/>
  <c r="F72" i="14"/>
  <c r="G70" i="14" s="1"/>
  <c r="C72" i="14"/>
  <c r="F71" i="13"/>
  <c r="G66" i="13" s="1"/>
  <c r="D71" i="13"/>
  <c r="C71" i="13"/>
  <c r="B71" i="13"/>
  <c r="G70" i="13"/>
  <c r="G69" i="13"/>
  <c r="G68" i="13"/>
  <c r="G67" i="13"/>
  <c r="G62" i="13"/>
  <c r="G61" i="13"/>
  <c r="G60" i="13"/>
  <c r="G59" i="13"/>
  <c r="G58" i="13"/>
  <c r="G54" i="13"/>
  <c r="G52" i="13"/>
  <c r="G51" i="13"/>
  <c r="G50" i="13"/>
  <c r="G46" i="13"/>
  <c r="G45" i="13"/>
  <c r="G44" i="13"/>
  <c r="G43" i="13"/>
  <c r="G42" i="13"/>
  <c r="G38" i="13"/>
  <c r="G37" i="13"/>
  <c r="G36" i="13"/>
  <c r="G34" i="13"/>
  <c r="G30" i="13"/>
  <c r="G29" i="13"/>
  <c r="G28" i="13"/>
  <c r="G27" i="13"/>
  <c r="G26" i="13"/>
  <c r="G22" i="13"/>
  <c r="G21" i="13"/>
  <c r="G20" i="13"/>
  <c r="G19" i="13"/>
  <c r="G18" i="13"/>
  <c r="G13" i="13"/>
  <c r="G12" i="13"/>
  <c r="G11" i="13"/>
  <c r="G10" i="13"/>
  <c r="G6" i="13"/>
  <c r="F71" i="12"/>
  <c r="D71" i="12"/>
  <c r="C71" i="12"/>
  <c r="B71" i="12"/>
  <c r="G48" i="12"/>
  <c r="F65" i="11"/>
  <c r="G51" i="11" s="1"/>
  <c r="D65" i="11"/>
  <c r="C65" i="11"/>
  <c r="E65" i="11" s="1"/>
  <c r="B65" i="11"/>
  <c r="G49" i="11"/>
  <c r="G48" i="11"/>
  <c r="G47" i="11"/>
  <c r="G32" i="11"/>
  <c r="G30" i="11"/>
  <c r="G26" i="11"/>
  <c r="G12" i="11"/>
  <c r="G11" i="11"/>
  <c r="G10" i="11"/>
  <c r="F65" i="10"/>
  <c r="G49" i="10" s="1"/>
  <c r="D65" i="10"/>
  <c r="C65" i="10"/>
  <c r="E65" i="10" s="1"/>
  <c r="B65" i="10"/>
  <c r="G62" i="10"/>
  <c r="G61" i="10"/>
  <c r="G60" i="10"/>
  <c r="G59" i="10"/>
  <c r="G58" i="10"/>
  <c r="G57" i="10"/>
  <c r="G54" i="10"/>
  <c r="G53" i="10"/>
  <c r="G50" i="10"/>
  <c r="G48" i="10"/>
  <c r="G47" i="10"/>
  <c r="G46" i="10"/>
  <c r="G45" i="10"/>
  <c r="G44" i="10"/>
  <c r="G43" i="10"/>
  <c r="G39" i="10"/>
  <c r="G38" i="10"/>
  <c r="G37" i="10"/>
  <c r="G35" i="10"/>
  <c r="G34" i="10"/>
  <c r="G33" i="10"/>
  <c r="G32" i="10"/>
  <c r="G31" i="10"/>
  <c r="G30" i="10"/>
  <c r="G26" i="10"/>
  <c r="G25" i="10"/>
  <c r="G24" i="10"/>
  <c r="G22" i="10"/>
  <c r="G21" i="10"/>
  <c r="G20" i="10"/>
  <c r="G19" i="10"/>
  <c r="G18" i="10"/>
  <c r="G17" i="10"/>
  <c r="G13" i="10"/>
  <c r="G12" i="10"/>
  <c r="G11" i="10"/>
  <c r="G9" i="10"/>
  <c r="G8" i="10"/>
  <c r="G7" i="10"/>
  <c r="G6" i="10"/>
  <c r="F65" i="9"/>
  <c r="D65" i="9"/>
  <c r="C65" i="9"/>
  <c r="E65" i="9" s="1"/>
  <c r="B65" i="9"/>
  <c r="G61" i="9"/>
  <c r="G56" i="9"/>
  <c r="G55" i="9"/>
  <c r="G54" i="9"/>
  <c r="G53" i="9"/>
  <c r="G52" i="9"/>
  <c r="G47" i="9"/>
  <c r="G39" i="9"/>
  <c r="G37" i="9"/>
  <c r="G36" i="9"/>
  <c r="G32" i="9"/>
  <c r="G31" i="9"/>
  <c r="G29" i="9"/>
  <c r="G28" i="9"/>
  <c r="G20" i="9"/>
  <c r="G15" i="9"/>
  <c r="G14" i="9"/>
  <c r="G13" i="9"/>
  <c r="G8" i="9"/>
  <c r="G7" i="9"/>
  <c r="G6" i="9"/>
  <c r="F67" i="8"/>
  <c r="D67" i="8"/>
  <c r="C67" i="8"/>
  <c r="E67" i="8" s="1"/>
  <c r="B67" i="8"/>
  <c r="G65" i="8"/>
  <c r="G63" i="8"/>
  <c r="G62" i="8"/>
  <c r="G48" i="8"/>
  <c r="G47" i="8"/>
  <c r="G46" i="8"/>
  <c r="G32" i="8"/>
  <c r="G31" i="8"/>
  <c r="G30" i="8"/>
  <c r="G16" i="8"/>
  <c r="G15" i="8"/>
  <c r="G14" i="8"/>
  <c r="F65" i="7"/>
  <c r="G59" i="7" s="1"/>
  <c r="D65" i="7"/>
  <c r="C65" i="7"/>
  <c r="E65" i="7" s="1"/>
  <c r="B65" i="7"/>
  <c r="G63" i="7"/>
  <c r="G62" i="7"/>
  <c r="G61" i="7"/>
  <c r="G55" i="7"/>
  <c r="G54" i="7"/>
  <c r="G53" i="7"/>
  <c r="G52" i="7"/>
  <c r="G48" i="7"/>
  <c r="G47" i="7"/>
  <c r="G46" i="7"/>
  <c r="G45" i="7"/>
  <c r="G44" i="7"/>
  <c r="G40" i="7"/>
  <c r="G37" i="7"/>
  <c r="G36" i="7"/>
  <c r="G32" i="7"/>
  <c r="G31" i="7"/>
  <c r="G30" i="7"/>
  <c r="G29" i="7"/>
  <c r="G28" i="7"/>
  <c r="G24" i="7"/>
  <c r="G23" i="7"/>
  <c r="G22" i="7"/>
  <c r="G16" i="7"/>
  <c r="G15" i="7"/>
  <c r="G14" i="7"/>
  <c r="G13" i="7"/>
  <c r="G12" i="7"/>
  <c r="G8" i="7"/>
  <c r="G7" i="7"/>
  <c r="G6" i="7"/>
  <c r="F65" i="6"/>
  <c r="G59" i="6" s="1"/>
  <c r="E65" i="6"/>
  <c r="D65" i="6"/>
  <c r="C65" i="6"/>
  <c r="B65" i="6"/>
  <c r="G46" i="6"/>
  <c r="G21" i="6"/>
  <c r="G7" i="6"/>
  <c r="F65" i="5"/>
  <c r="G61" i="5" s="1"/>
  <c r="D65" i="5"/>
  <c r="E65" i="5" s="1"/>
  <c r="C65" i="5"/>
  <c r="B65" i="5"/>
  <c r="G22" i="5"/>
  <c r="F65" i="4"/>
  <c r="G53" i="4" s="1"/>
  <c r="D65" i="4"/>
  <c r="C65" i="4"/>
  <c r="B65" i="4"/>
  <c r="G61" i="4"/>
  <c r="G60" i="4"/>
  <c r="G59" i="4"/>
  <c r="G58" i="4"/>
  <c r="G57" i="4"/>
  <c r="G49" i="4"/>
  <c r="G44" i="4"/>
  <c r="G43" i="4"/>
  <c r="G42" i="4"/>
  <c r="G41" i="4"/>
  <c r="G37" i="4"/>
  <c r="G36" i="4"/>
  <c r="G28" i="4"/>
  <c r="G26" i="4"/>
  <c r="G25" i="4"/>
  <c r="G21" i="4"/>
  <c r="G20" i="4"/>
  <c r="G19" i="4"/>
  <c r="G18" i="4"/>
  <c r="G10" i="4"/>
  <c r="F65" i="3"/>
  <c r="G58" i="3" s="1"/>
  <c r="D65" i="3"/>
  <c r="C65" i="3"/>
  <c r="E65" i="3" s="1"/>
  <c r="B65" i="3"/>
  <c r="G48" i="3"/>
  <c r="G44" i="3"/>
  <c r="G43" i="3"/>
  <c r="G27" i="3"/>
  <c r="G26" i="3"/>
  <c r="G25" i="3"/>
  <c r="G9" i="3"/>
  <c r="G8" i="3"/>
  <c r="F65" i="2"/>
  <c r="G62" i="2" s="1"/>
  <c r="D65" i="2"/>
  <c r="C65" i="2"/>
  <c r="B65" i="2"/>
  <c r="G32" i="2"/>
  <c r="G22" i="14" l="1"/>
  <c r="G53" i="14"/>
  <c r="G50" i="14"/>
  <c r="G58" i="14"/>
  <c r="G51" i="14"/>
  <c r="G30" i="14"/>
  <c r="G59" i="14"/>
  <c r="G16" i="14"/>
  <c r="G32" i="14"/>
  <c r="G60" i="14"/>
  <c r="G52" i="14"/>
  <c r="G33" i="14"/>
  <c r="G68" i="14"/>
  <c r="G15" i="14"/>
  <c r="G26" i="14"/>
  <c r="G7" i="14"/>
  <c r="G34" i="14"/>
  <c r="G71" i="14"/>
  <c r="G9" i="14"/>
  <c r="G40" i="14"/>
  <c r="G14" i="14"/>
  <c r="G8" i="14"/>
  <c r="G35" i="14"/>
  <c r="G13" i="14"/>
  <c r="G43" i="14"/>
  <c r="E65" i="30"/>
  <c r="G6" i="30"/>
  <c r="G27" i="30"/>
  <c r="G51" i="30"/>
  <c r="G50" i="30"/>
  <c r="G7" i="30"/>
  <c r="G30" i="30"/>
  <c r="G53" i="30"/>
  <c r="G8" i="30"/>
  <c r="G34" i="30"/>
  <c r="G54" i="30"/>
  <c r="G10" i="30"/>
  <c r="G35" i="30"/>
  <c r="G58" i="30"/>
  <c r="G26" i="30"/>
  <c r="G12" i="30"/>
  <c r="G36" i="30"/>
  <c r="G61" i="30"/>
  <c r="G13" i="30"/>
  <c r="G37" i="30"/>
  <c r="G62" i="30"/>
  <c r="G16" i="30"/>
  <c r="G39" i="30"/>
  <c r="G63" i="30"/>
  <c r="G20" i="30"/>
  <c r="G40" i="30"/>
  <c r="G34" i="15"/>
  <c r="G55" i="2"/>
  <c r="G46" i="25"/>
  <c r="G12" i="2"/>
  <c r="G28" i="2"/>
  <c r="G47" i="2"/>
  <c r="E65" i="2"/>
  <c r="G20" i="3"/>
  <c r="G41" i="3"/>
  <c r="G59" i="3"/>
  <c r="G20" i="5"/>
  <c r="G8" i="11"/>
  <c r="G24" i="11"/>
  <c r="G43" i="11"/>
  <c r="G62" i="11"/>
  <c r="G19" i="15"/>
  <c r="G62" i="15"/>
  <c r="G31" i="25"/>
  <c r="G39" i="27"/>
  <c r="G17" i="2"/>
  <c r="G15" i="2"/>
  <c r="G31" i="2"/>
  <c r="G48" i="2"/>
  <c r="G24" i="3"/>
  <c r="G42" i="3"/>
  <c r="G60" i="3"/>
  <c r="G21" i="5"/>
  <c r="G59" i="9"/>
  <c r="G48" i="9"/>
  <c r="G30" i="9"/>
  <c r="G12" i="9"/>
  <c r="G9" i="11"/>
  <c r="G25" i="11"/>
  <c r="G46" i="11"/>
  <c r="G63" i="11"/>
  <c r="G24" i="15"/>
  <c r="G34" i="25"/>
  <c r="G50" i="2"/>
  <c r="G34" i="5"/>
  <c r="G10" i="25"/>
  <c r="G39" i="25"/>
  <c r="G35" i="5"/>
  <c r="G7" i="25"/>
  <c r="G10" i="3"/>
  <c r="G49" i="3"/>
  <c r="G33" i="11"/>
  <c r="G20" i="2"/>
  <c r="G36" i="2"/>
  <c r="G56" i="2"/>
  <c r="G11" i="3"/>
  <c r="G32" i="3"/>
  <c r="G50" i="3"/>
  <c r="G9" i="4"/>
  <c r="G27" i="4"/>
  <c r="G45" i="4"/>
  <c r="E65" i="4"/>
  <c r="G45" i="5"/>
  <c r="G35" i="6"/>
  <c r="G16" i="9"/>
  <c r="G38" i="9"/>
  <c r="G60" i="9"/>
  <c r="G10" i="10"/>
  <c r="G23" i="10"/>
  <c r="G36" i="10"/>
  <c r="G17" i="11"/>
  <c r="G34" i="11"/>
  <c r="G15" i="25"/>
  <c r="G60" i="25"/>
  <c r="G48" i="25"/>
  <c r="G36" i="25"/>
  <c r="G24" i="25"/>
  <c r="G12" i="25"/>
  <c r="G59" i="25"/>
  <c r="G47" i="25"/>
  <c r="G35" i="25"/>
  <c r="G23" i="25"/>
  <c r="G11" i="25"/>
  <c r="G57" i="25"/>
  <c r="G45" i="25"/>
  <c r="G33" i="25"/>
  <c r="G21" i="25"/>
  <c r="G9" i="25"/>
  <c r="G56" i="25"/>
  <c r="G44" i="25"/>
  <c r="G32" i="25"/>
  <c r="G20" i="25"/>
  <c r="G8" i="25"/>
  <c r="G54" i="25"/>
  <c r="G42" i="25"/>
  <c r="G30" i="25"/>
  <c r="G18" i="25"/>
  <c r="G6" i="25"/>
  <c r="G53" i="25"/>
  <c r="G41" i="25"/>
  <c r="G29" i="25"/>
  <c r="G17" i="25"/>
  <c r="G62" i="25"/>
  <c r="G50" i="25"/>
  <c r="G38" i="25"/>
  <c r="G26" i="25"/>
  <c r="G14" i="25"/>
  <c r="G61" i="25"/>
  <c r="G49" i="25"/>
  <c r="G37" i="25"/>
  <c r="G25" i="25"/>
  <c r="G13" i="25"/>
  <c r="G33" i="2"/>
  <c r="G40" i="25"/>
  <c r="G18" i="2"/>
  <c r="G70" i="15"/>
  <c r="G45" i="15"/>
  <c r="G18" i="15"/>
  <c r="G44" i="15"/>
  <c r="G16" i="15"/>
  <c r="G65" i="15"/>
  <c r="G37" i="15"/>
  <c r="G10" i="15"/>
  <c r="G63" i="15"/>
  <c r="G36" i="15"/>
  <c r="G8" i="15"/>
  <c r="G55" i="15"/>
  <c r="G28" i="15"/>
  <c r="G35" i="2"/>
  <c r="G36" i="5"/>
  <c r="G61" i="11"/>
  <c r="G58" i="11"/>
  <c r="G44" i="11"/>
  <c r="G31" i="11"/>
  <c r="G56" i="11"/>
  <c r="G42" i="11"/>
  <c r="G28" i="11"/>
  <c r="G15" i="11"/>
  <c r="G55" i="11"/>
  <c r="G41" i="11"/>
  <c r="G27" i="11"/>
  <c r="G14" i="11"/>
  <c r="G7" i="2"/>
  <c r="G18" i="11"/>
  <c r="G35" i="11"/>
  <c r="G52" i="11"/>
  <c r="G46" i="15"/>
  <c r="G16" i="25"/>
  <c r="G52" i="25"/>
  <c r="G41" i="27"/>
  <c r="G20" i="27"/>
  <c r="G60" i="27"/>
  <c r="G40" i="27"/>
  <c r="G19" i="27"/>
  <c r="G58" i="27"/>
  <c r="G37" i="27"/>
  <c r="G13" i="27"/>
  <c r="G57" i="27"/>
  <c r="G33" i="27"/>
  <c r="G12" i="27"/>
  <c r="G56" i="27"/>
  <c r="G51" i="27"/>
  <c r="G31" i="27"/>
  <c r="G10" i="27"/>
  <c r="G50" i="27"/>
  <c r="G29" i="27"/>
  <c r="G47" i="27"/>
  <c r="G23" i="27"/>
  <c r="G42" i="27"/>
  <c r="G21" i="27"/>
  <c r="G68" i="35"/>
  <c r="G42" i="35"/>
  <c r="G22" i="35"/>
  <c r="G65" i="35"/>
  <c r="G40" i="35"/>
  <c r="G21" i="35"/>
  <c r="G61" i="35"/>
  <c r="G37" i="35"/>
  <c r="G17" i="35"/>
  <c r="G58" i="35"/>
  <c r="G34" i="35"/>
  <c r="G16" i="35"/>
  <c r="G56" i="35"/>
  <c r="G33" i="35"/>
  <c r="G14" i="35"/>
  <c r="G54" i="35"/>
  <c r="G32" i="35"/>
  <c r="G13" i="35"/>
  <c r="G53" i="35"/>
  <c r="G30" i="35"/>
  <c r="G10" i="35"/>
  <c r="G50" i="35"/>
  <c r="G29" i="35"/>
  <c r="G9" i="35"/>
  <c r="G46" i="35"/>
  <c r="G25" i="35"/>
  <c r="G7" i="35"/>
  <c r="G45" i="35"/>
  <c r="G24" i="35"/>
  <c r="G6" i="35"/>
  <c r="G49" i="2"/>
  <c r="G51" i="2"/>
  <c r="G28" i="3"/>
  <c r="G16" i="11"/>
  <c r="G57" i="2"/>
  <c r="G50" i="5"/>
  <c r="G60" i="6"/>
  <c r="G21" i="9"/>
  <c r="G40" i="9"/>
  <c r="G62" i="9"/>
  <c r="G19" i="11"/>
  <c r="G36" i="11"/>
  <c r="G54" i="11"/>
  <c r="G52" i="15"/>
  <c r="G19" i="25"/>
  <c r="G55" i="25"/>
  <c r="G15" i="27"/>
  <c r="G19" i="2"/>
  <c r="G50" i="11"/>
  <c r="G35" i="15"/>
  <c r="G23" i="2"/>
  <c r="G12" i="3"/>
  <c r="G51" i="3"/>
  <c r="G40" i="2"/>
  <c r="G52" i="3"/>
  <c r="G17" i="3"/>
  <c r="G22" i="9"/>
  <c r="G44" i="9"/>
  <c r="G63" i="9"/>
  <c r="G52" i="10"/>
  <c r="G40" i="10"/>
  <c r="G28" i="10"/>
  <c r="G16" i="10"/>
  <c r="G63" i="10"/>
  <c r="G51" i="10"/>
  <c r="G20" i="11"/>
  <c r="G38" i="11"/>
  <c r="G57" i="11"/>
  <c r="E71" i="12"/>
  <c r="G6" i="15"/>
  <c r="G53" i="15"/>
  <c r="G22" i="25"/>
  <c r="G58" i="25"/>
  <c r="G24" i="27"/>
  <c r="G62" i="36"/>
  <c r="G50" i="36"/>
  <c r="G38" i="36"/>
  <c r="G26" i="36"/>
  <c r="G14" i="36"/>
  <c r="G61" i="36"/>
  <c r="G49" i="36"/>
  <c r="G37" i="36"/>
  <c r="G25" i="36"/>
  <c r="G13" i="36"/>
  <c r="G59" i="36"/>
  <c r="G47" i="36"/>
  <c r="G35" i="36"/>
  <c r="G23" i="36"/>
  <c r="G11" i="36"/>
  <c r="G58" i="36"/>
  <c r="G46" i="36"/>
  <c r="G34" i="36"/>
  <c r="G22" i="36"/>
  <c r="G10" i="36"/>
  <c r="G57" i="36"/>
  <c r="G45" i="36"/>
  <c r="G33" i="36"/>
  <c r="G21" i="36"/>
  <c r="G9" i="36"/>
  <c r="G69" i="36"/>
  <c r="G56" i="36"/>
  <c r="G44" i="36"/>
  <c r="G32" i="36"/>
  <c r="G20" i="36"/>
  <c r="G8" i="36"/>
  <c r="G68" i="36"/>
  <c r="G55" i="36"/>
  <c r="G43" i="36"/>
  <c r="G31" i="36"/>
  <c r="G19" i="36"/>
  <c r="G7" i="36"/>
  <c r="G67" i="36"/>
  <c r="G54" i="36"/>
  <c r="G42" i="36"/>
  <c r="G30" i="36"/>
  <c r="G18" i="36"/>
  <c r="G6" i="36"/>
  <c r="G65" i="36"/>
  <c r="G52" i="36"/>
  <c r="G40" i="36"/>
  <c r="G28" i="36"/>
  <c r="G16" i="36"/>
  <c r="G63" i="36"/>
  <c r="G51" i="36"/>
  <c r="G39" i="36"/>
  <c r="G27" i="36"/>
  <c r="G15" i="36"/>
  <c r="G8" i="2"/>
  <c r="G58" i="2"/>
  <c r="G34" i="3"/>
  <c r="G50" i="4"/>
  <c r="G9" i="2"/>
  <c r="G41" i="2"/>
  <c r="G59" i="2"/>
  <c r="G35" i="3"/>
  <c r="G12" i="4"/>
  <c r="G33" i="4"/>
  <c r="G51" i="4"/>
  <c r="G6" i="5"/>
  <c r="G59" i="5"/>
  <c r="G10" i="2"/>
  <c r="G26" i="2"/>
  <c r="G42" i="2"/>
  <c r="G63" i="2"/>
  <c r="G18" i="3"/>
  <c r="G36" i="3"/>
  <c r="G57" i="3"/>
  <c r="G13" i="4"/>
  <c r="G34" i="4"/>
  <c r="G52" i="4"/>
  <c r="G10" i="5"/>
  <c r="G60" i="5"/>
  <c r="G20" i="7"/>
  <c r="G38" i="7"/>
  <c r="G56" i="7"/>
  <c r="G23" i="9"/>
  <c r="G45" i="9"/>
  <c r="G14" i="10"/>
  <c r="G27" i="10"/>
  <c r="G41" i="10"/>
  <c r="G55" i="10"/>
  <c r="G6" i="11"/>
  <c r="G22" i="11"/>
  <c r="G39" i="11"/>
  <c r="G59" i="11"/>
  <c r="G42" i="12"/>
  <c r="G50" i="12"/>
  <c r="G18" i="12"/>
  <c r="G16" i="12"/>
  <c r="G7" i="15"/>
  <c r="G54" i="15"/>
  <c r="G27" i="25"/>
  <c r="G63" i="25"/>
  <c r="G28" i="27"/>
  <c r="G8" i="35"/>
  <c r="G24" i="36"/>
  <c r="G16" i="2"/>
  <c r="G34" i="2"/>
  <c r="G43" i="25"/>
  <c r="G39" i="2"/>
  <c r="G33" i="3"/>
  <c r="G46" i="5"/>
  <c r="G24" i="2"/>
  <c r="G16" i="3"/>
  <c r="G11" i="4"/>
  <c r="G29" i="4"/>
  <c r="G25" i="2"/>
  <c r="G56" i="3"/>
  <c r="G11" i="2"/>
  <c r="G27" i="2"/>
  <c r="G43" i="2"/>
  <c r="G19" i="3"/>
  <c r="G40" i="3"/>
  <c r="G17" i="4"/>
  <c r="G35" i="4"/>
  <c r="G11" i="5"/>
  <c r="G21" i="7"/>
  <c r="G39" i="7"/>
  <c r="G60" i="7"/>
  <c r="G24" i="9"/>
  <c r="G46" i="9"/>
  <c r="G15" i="10"/>
  <c r="G29" i="10"/>
  <c r="G42" i="10"/>
  <c r="G56" i="10"/>
  <c r="G7" i="11"/>
  <c r="G23" i="11"/>
  <c r="G40" i="11"/>
  <c r="G60" i="11"/>
  <c r="G15" i="15"/>
  <c r="G61" i="15"/>
  <c r="G28" i="25"/>
  <c r="G32" i="27"/>
  <c r="G18" i="35"/>
  <c r="G29" i="36"/>
  <c r="G39" i="22"/>
  <c r="E65" i="25"/>
  <c r="G11" i="30"/>
  <c r="G24" i="30"/>
  <c r="G38" i="30"/>
  <c r="G52" i="30"/>
  <c r="G19" i="31"/>
  <c r="G43" i="31"/>
  <c r="G11" i="33"/>
  <c r="E72" i="21"/>
  <c r="G41" i="22"/>
  <c r="G17" i="14"/>
  <c r="G41" i="14"/>
  <c r="G61" i="14"/>
  <c r="G27" i="17"/>
  <c r="G58" i="17"/>
  <c r="G50" i="22"/>
  <c r="G6" i="24"/>
  <c r="G22" i="24"/>
  <c r="G39" i="24"/>
  <c r="G57" i="24"/>
  <c r="G9" i="26"/>
  <c r="G46" i="26"/>
  <c r="G14" i="30"/>
  <c r="G28" i="30"/>
  <c r="G42" i="30"/>
  <c r="G55" i="30"/>
  <c r="G20" i="33"/>
  <c r="G14" i="13"/>
  <c r="G35" i="13"/>
  <c r="G53" i="13"/>
  <c r="E71" i="13"/>
  <c r="G21" i="14"/>
  <c r="G42" i="14"/>
  <c r="G62" i="14"/>
  <c r="G40" i="16"/>
  <c r="G6" i="17"/>
  <c r="G28" i="17"/>
  <c r="G59" i="17"/>
  <c r="G15" i="21"/>
  <c r="G27" i="21"/>
  <c r="G39" i="21"/>
  <c r="G51" i="21"/>
  <c r="G6" i="22"/>
  <c r="G57" i="22"/>
  <c r="G7" i="24"/>
  <c r="G23" i="24"/>
  <c r="G40" i="24"/>
  <c r="G58" i="24"/>
  <c r="G11" i="26"/>
  <c r="G48" i="26"/>
  <c r="G15" i="30"/>
  <c r="G29" i="30"/>
  <c r="G43" i="30"/>
  <c r="G56" i="30"/>
  <c r="G7" i="31"/>
  <c r="G27" i="31"/>
  <c r="G51" i="31"/>
  <c r="G28" i="33"/>
  <c r="G24" i="14"/>
  <c r="G44" i="14"/>
  <c r="G69" i="14"/>
  <c r="G49" i="16"/>
  <c r="G9" i="17"/>
  <c r="G35" i="17"/>
  <c r="G65" i="17"/>
  <c r="G14" i="22"/>
  <c r="G10" i="24"/>
  <c r="G25" i="24"/>
  <c r="G42" i="24"/>
  <c r="G18" i="26"/>
  <c r="G55" i="26"/>
  <c r="E65" i="29"/>
  <c r="G18" i="30"/>
  <c r="G31" i="30"/>
  <c r="G45" i="30"/>
  <c r="G59" i="30"/>
  <c r="G9" i="31"/>
  <c r="G30" i="31"/>
  <c r="G54" i="31"/>
  <c r="G44" i="33"/>
  <c r="G6" i="14"/>
  <c r="G25" i="14"/>
  <c r="G49" i="14"/>
  <c r="G13" i="17"/>
  <c r="G36" i="17"/>
  <c r="G16" i="22"/>
  <c r="G19" i="30"/>
  <c r="G32" i="30"/>
  <c r="G46" i="30"/>
  <c r="G60" i="30"/>
  <c r="G57" i="5"/>
  <c r="G49" i="5"/>
  <c r="G41" i="5"/>
  <c r="G33" i="5"/>
  <c r="G25" i="5"/>
  <c r="G17" i="5"/>
  <c r="G9" i="5"/>
  <c r="G63" i="5"/>
  <c r="G47" i="5"/>
  <c r="G15" i="5"/>
  <c r="G56" i="5"/>
  <c r="G48" i="5"/>
  <c r="G40" i="5"/>
  <c r="G32" i="5"/>
  <c r="G24" i="5"/>
  <c r="G16" i="5"/>
  <c r="G8" i="5"/>
  <c r="G39" i="5"/>
  <c r="G23" i="5"/>
  <c r="G55" i="5"/>
  <c r="G31" i="5"/>
  <c r="G7" i="5"/>
  <c r="G19" i="6"/>
  <c r="G30" i="6"/>
  <c r="G44" i="6"/>
  <c r="G55" i="6"/>
  <c r="G60" i="8"/>
  <c r="G52" i="8"/>
  <c r="G44" i="8"/>
  <c r="G36" i="8"/>
  <c r="G28" i="8"/>
  <c r="G20" i="8"/>
  <c r="G12" i="8"/>
  <c r="G11" i="8"/>
  <c r="G59" i="8"/>
  <c r="G51" i="8"/>
  <c r="G43" i="8"/>
  <c r="G35" i="8"/>
  <c r="G27" i="8"/>
  <c r="G19" i="8"/>
  <c r="G58" i="8"/>
  <c r="G50" i="8"/>
  <c r="G42" i="8"/>
  <c r="G34" i="8"/>
  <c r="G26" i="8"/>
  <c r="G18" i="8"/>
  <c r="G10" i="8"/>
  <c r="G61" i="8"/>
  <c r="G53" i="8"/>
  <c r="G45" i="8"/>
  <c r="G37" i="8"/>
  <c r="G29" i="8"/>
  <c r="G21" i="8"/>
  <c r="G13" i="8"/>
  <c r="G10" i="12"/>
  <c r="G6" i="6"/>
  <c r="G20" i="6"/>
  <c r="G31" i="6"/>
  <c r="G45" i="6"/>
  <c r="G58" i="6"/>
  <c r="G50" i="6"/>
  <c r="G42" i="6"/>
  <c r="G34" i="6"/>
  <c r="G26" i="6"/>
  <c r="G18" i="6"/>
  <c r="G10" i="6"/>
  <c r="G33" i="6"/>
  <c r="G17" i="6"/>
  <c r="G9" i="6"/>
  <c r="G56" i="6"/>
  <c r="G40" i="6"/>
  <c r="G32" i="6"/>
  <c r="G16" i="6"/>
  <c r="G8" i="6"/>
  <c r="G57" i="6"/>
  <c r="G49" i="6"/>
  <c r="G41" i="6"/>
  <c r="G25" i="6"/>
  <c r="G48" i="6"/>
  <c r="G24" i="6"/>
  <c r="G62" i="12"/>
  <c r="G54" i="12"/>
  <c r="G46" i="12"/>
  <c r="G38" i="12"/>
  <c r="G30" i="12"/>
  <c r="G22" i="12"/>
  <c r="G14" i="12"/>
  <c r="G6" i="12"/>
  <c r="G70" i="12"/>
  <c r="G61" i="12"/>
  <c r="G53" i="12"/>
  <c r="G45" i="12"/>
  <c r="G37" i="12"/>
  <c r="G29" i="12"/>
  <c r="G21" i="12"/>
  <c r="G13" i="12"/>
  <c r="G69" i="12"/>
  <c r="G60" i="12"/>
  <c r="G52" i="12"/>
  <c r="G44" i="12"/>
  <c r="G36" i="12"/>
  <c r="G28" i="12"/>
  <c r="G20" i="12"/>
  <c r="G12" i="12"/>
  <c r="G68" i="12"/>
  <c r="G59" i="12"/>
  <c r="G51" i="12"/>
  <c r="G43" i="12"/>
  <c r="G35" i="12"/>
  <c r="G27" i="12"/>
  <c r="G19" i="12"/>
  <c r="G11" i="12"/>
  <c r="G66" i="12"/>
  <c r="G57" i="12"/>
  <c r="G49" i="12"/>
  <c r="G41" i="12"/>
  <c r="G33" i="12"/>
  <c r="G25" i="12"/>
  <c r="G17" i="12"/>
  <c r="G9" i="12"/>
  <c r="G63" i="12"/>
  <c r="G55" i="12"/>
  <c r="G47" i="12"/>
  <c r="G39" i="12"/>
  <c r="G31" i="12"/>
  <c r="G23" i="12"/>
  <c r="G15" i="12"/>
  <c r="G7" i="12"/>
  <c r="G12" i="5"/>
  <c r="G26" i="5"/>
  <c r="G37" i="5"/>
  <c r="G51" i="5"/>
  <c r="G62" i="5"/>
  <c r="G11" i="6"/>
  <c r="G22" i="6"/>
  <c r="G36" i="6"/>
  <c r="G47" i="6"/>
  <c r="G61" i="6"/>
  <c r="G17" i="8"/>
  <c r="G33" i="8"/>
  <c r="G49" i="8"/>
  <c r="G66" i="8"/>
  <c r="G24" i="12"/>
  <c r="G56" i="12"/>
  <c r="G13" i="5"/>
  <c r="G27" i="5"/>
  <c r="G38" i="5"/>
  <c r="G52" i="5"/>
  <c r="G12" i="6"/>
  <c r="G23" i="6"/>
  <c r="G37" i="6"/>
  <c r="G51" i="6"/>
  <c r="G62" i="6"/>
  <c r="G6" i="8"/>
  <c r="G22" i="8"/>
  <c r="G38" i="8"/>
  <c r="G54" i="8"/>
  <c r="G26" i="12"/>
  <c r="G58" i="12"/>
  <c r="G14" i="5"/>
  <c r="G28" i="5"/>
  <c r="G42" i="5"/>
  <c r="G53" i="5"/>
  <c r="G13" i="6"/>
  <c r="G27" i="6"/>
  <c r="G38" i="6"/>
  <c r="G52" i="6"/>
  <c r="G63" i="6"/>
  <c r="G7" i="8"/>
  <c r="G23" i="8"/>
  <c r="G39" i="8"/>
  <c r="G55" i="8"/>
  <c r="G32" i="12"/>
  <c r="G65" i="12"/>
  <c r="G18" i="5"/>
  <c r="G29" i="5"/>
  <c r="G43" i="5"/>
  <c r="G54" i="5"/>
  <c r="G14" i="6"/>
  <c r="G28" i="6"/>
  <c r="G39" i="6"/>
  <c r="G53" i="6"/>
  <c r="G8" i="8"/>
  <c r="G24" i="8"/>
  <c r="G40" i="8"/>
  <c r="G56" i="8"/>
  <c r="G34" i="12"/>
  <c r="G67" i="12"/>
  <c r="G63" i="3"/>
  <c r="G55" i="3"/>
  <c r="G47" i="3"/>
  <c r="G39" i="3"/>
  <c r="G31" i="3"/>
  <c r="G23" i="3"/>
  <c r="G15" i="3"/>
  <c r="G7" i="3"/>
  <c r="G62" i="3"/>
  <c r="G46" i="3"/>
  <c r="G38" i="3"/>
  <c r="G30" i="3"/>
  <c r="G14" i="3"/>
  <c r="G6" i="3"/>
  <c r="G45" i="3"/>
  <c r="G29" i="3"/>
  <c r="G54" i="3"/>
  <c r="G22" i="3"/>
  <c r="G61" i="3"/>
  <c r="G37" i="3"/>
  <c r="G13" i="3"/>
  <c r="G53" i="3"/>
  <c r="G21" i="3"/>
  <c r="G56" i="4"/>
  <c r="G48" i="4"/>
  <c r="G40" i="4"/>
  <c r="G32" i="4"/>
  <c r="G24" i="4"/>
  <c r="G16" i="4"/>
  <c r="G8" i="4"/>
  <c r="G63" i="4"/>
  <c r="G47" i="4"/>
  <c r="G39" i="4"/>
  <c r="G31" i="4"/>
  <c r="G23" i="4"/>
  <c r="G7" i="4"/>
  <c r="G54" i="4"/>
  <c r="G46" i="4"/>
  <c r="G22" i="4"/>
  <c r="G6" i="4"/>
  <c r="G55" i="4"/>
  <c r="G15" i="4"/>
  <c r="G62" i="4"/>
  <c r="G38" i="4"/>
  <c r="G14" i="4"/>
  <c r="G30" i="4"/>
  <c r="G19" i="5"/>
  <c r="G30" i="5"/>
  <c r="G44" i="5"/>
  <c r="G58" i="5"/>
  <c r="G15" i="6"/>
  <c r="G29" i="6"/>
  <c r="G43" i="6"/>
  <c r="G54" i="6"/>
  <c r="G9" i="8"/>
  <c r="G25" i="8"/>
  <c r="G41" i="8"/>
  <c r="G57" i="8"/>
  <c r="G8" i="12"/>
  <c r="G40" i="12"/>
  <c r="G63" i="14"/>
  <c r="G55" i="14"/>
  <c r="G47" i="14"/>
  <c r="G39" i="14"/>
  <c r="G31" i="14"/>
  <c r="G23" i="14"/>
  <c r="G14" i="15"/>
  <c r="G23" i="15"/>
  <c r="G32" i="15"/>
  <c r="G42" i="15"/>
  <c r="G51" i="15"/>
  <c r="G60" i="15"/>
  <c r="G9" i="16"/>
  <c r="G18" i="16"/>
  <c r="G27" i="16"/>
  <c r="G37" i="16"/>
  <c r="G46" i="16"/>
  <c r="G55" i="16"/>
  <c r="G69" i="16"/>
  <c r="G60" i="16"/>
  <c r="G52" i="16"/>
  <c r="G44" i="16"/>
  <c r="G36" i="16"/>
  <c r="G28" i="16"/>
  <c r="G20" i="16"/>
  <c r="G12" i="16"/>
  <c r="E71" i="15"/>
  <c r="G11" i="16"/>
  <c r="G21" i="16"/>
  <c r="G30" i="16"/>
  <c r="G39" i="16"/>
  <c r="G48" i="16"/>
  <c r="G57" i="16"/>
  <c r="G67" i="16"/>
  <c r="E71" i="19"/>
  <c r="G66" i="15"/>
  <c r="G57" i="15"/>
  <c r="G49" i="15"/>
  <c r="G41" i="15"/>
  <c r="G33" i="15"/>
  <c r="G25" i="15"/>
  <c r="G17" i="15"/>
  <c r="G9" i="15"/>
  <c r="G14" i="16"/>
  <c r="G23" i="16"/>
  <c r="G32" i="16"/>
  <c r="G41" i="16"/>
  <c r="G50" i="16"/>
  <c r="G59" i="16"/>
  <c r="G70" i="16"/>
  <c r="G63" i="17"/>
  <c r="G55" i="17"/>
  <c r="G47" i="17"/>
  <c r="G39" i="17"/>
  <c r="G31" i="17"/>
  <c r="G23" i="17"/>
  <c r="G15" i="17"/>
  <c r="G7" i="17"/>
  <c r="G62" i="17"/>
  <c r="G54" i="17"/>
  <c r="G46" i="17"/>
  <c r="G70" i="17"/>
  <c r="G61" i="17"/>
  <c r="G53" i="17"/>
  <c r="G45" i="17"/>
  <c r="G37" i="17"/>
  <c r="G29" i="17"/>
  <c r="G21" i="17"/>
  <c r="G52" i="2"/>
  <c r="G9" i="7"/>
  <c r="G17" i="7"/>
  <c r="G25" i="7"/>
  <c r="G33" i="7"/>
  <c r="G41" i="7"/>
  <c r="G49" i="7"/>
  <c r="G57" i="7"/>
  <c r="G9" i="9"/>
  <c r="G17" i="9"/>
  <c r="G25" i="9"/>
  <c r="G33" i="9"/>
  <c r="G41" i="9"/>
  <c r="G49" i="9"/>
  <c r="G57" i="9"/>
  <c r="G7" i="13"/>
  <c r="G15" i="13"/>
  <c r="G23" i="13"/>
  <c r="G31" i="13"/>
  <c r="G39" i="13"/>
  <c r="G47" i="13"/>
  <c r="G55" i="13"/>
  <c r="G63" i="13"/>
  <c r="G10" i="14"/>
  <c r="G18" i="14"/>
  <c r="G27" i="14"/>
  <c r="G36" i="14"/>
  <c r="G45" i="14"/>
  <c r="G54" i="14"/>
  <c r="G65" i="14"/>
  <c r="G11" i="15"/>
  <c r="G20" i="15"/>
  <c r="G29" i="15"/>
  <c r="G38" i="15"/>
  <c r="G47" i="15"/>
  <c r="G56" i="15"/>
  <c r="G67" i="15"/>
  <c r="G6" i="16"/>
  <c r="G15" i="16"/>
  <c r="G24" i="16"/>
  <c r="G33" i="16"/>
  <c r="G42" i="16"/>
  <c r="G51" i="16"/>
  <c r="G61" i="16"/>
  <c r="G10" i="17"/>
  <c r="G19" i="17"/>
  <c r="G30" i="17"/>
  <c r="G41" i="17"/>
  <c r="G52" i="17"/>
  <c r="G67" i="17"/>
  <c r="G44" i="2"/>
  <c r="G60" i="2"/>
  <c r="G13" i="2"/>
  <c r="G53" i="2"/>
  <c r="G10" i="9"/>
  <c r="G18" i="9"/>
  <c r="G26" i="9"/>
  <c r="G34" i="9"/>
  <c r="G42" i="9"/>
  <c r="G50" i="9"/>
  <c r="G58" i="9"/>
  <c r="G8" i="13"/>
  <c r="G16" i="13"/>
  <c r="G24" i="13"/>
  <c r="G32" i="13"/>
  <c r="G40" i="13"/>
  <c r="G48" i="13"/>
  <c r="G56" i="13"/>
  <c r="G65" i="13"/>
  <c r="G11" i="14"/>
  <c r="G19" i="14"/>
  <c r="G28" i="14"/>
  <c r="G37" i="14"/>
  <c r="G46" i="14"/>
  <c r="G56" i="14"/>
  <c r="G66" i="14"/>
  <c r="G12" i="15"/>
  <c r="G21" i="15"/>
  <c r="G30" i="15"/>
  <c r="G39" i="15"/>
  <c r="G48" i="15"/>
  <c r="G58" i="15"/>
  <c r="G68" i="15"/>
  <c r="G7" i="16"/>
  <c r="G16" i="16"/>
  <c r="G25" i="16"/>
  <c r="G34" i="16"/>
  <c r="G43" i="16"/>
  <c r="G53" i="16"/>
  <c r="G62" i="16"/>
  <c r="G11" i="17"/>
  <c r="G20" i="17"/>
  <c r="G32" i="17"/>
  <c r="G42" i="17"/>
  <c r="G56" i="17"/>
  <c r="G68" i="17"/>
  <c r="G21" i="2"/>
  <c r="G29" i="2"/>
  <c r="G37" i="2"/>
  <c r="G45" i="2"/>
  <c r="G61" i="2"/>
  <c r="G10" i="7"/>
  <c r="G18" i="7"/>
  <c r="G26" i="7"/>
  <c r="G34" i="7"/>
  <c r="G42" i="7"/>
  <c r="G50" i="7"/>
  <c r="G58" i="7"/>
  <c r="G6" i="2"/>
  <c r="G14" i="2"/>
  <c r="G22" i="2"/>
  <c r="G30" i="2"/>
  <c r="G38" i="2"/>
  <c r="G46" i="2"/>
  <c r="G54" i="2"/>
  <c r="G11" i="7"/>
  <c r="G19" i="7"/>
  <c r="G27" i="7"/>
  <c r="G35" i="7"/>
  <c r="G43" i="7"/>
  <c r="G51" i="7"/>
  <c r="G11" i="9"/>
  <c r="G19" i="9"/>
  <c r="G27" i="9"/>
  <c r="G35" i="9"/>
  <c r="G43" i="9"/>
  <c r="G51" i="9"/>
  <c r="G13" i="11"/>
  <c r="G21" i="11"/>
  <c r="G29" i="11"/>
  <c r="G37" i="11"/>
  <c r="G45" i="11"/>
  <c r="G53" i="11"/>
  <c r="G9" i="13"/>
  <c r="G17" i="13"/>
  <c r="G25" i="13"/>
  <c r="G33" i="13"/>
  <c r="G41" i="13"/>
  <c r="G49" i="13"/>
  <c r="G57" i="13"/>
  <c r="G12" i="14"/>
  <c r="G20" i="14"/>
  <c r="G29" i="14"/>
  <c r="G38" i="14"/>
  <c r="G48" i="14"/>
  <c r="G57" i="14"/>
  <c r="G67" i="14"/>
  <c r="G13" i="15"/>
  <c r="G22" i="15"/>
  <c r="G31" i="15"/>
  <c r="G40" i="15"/>
  <c r="G50" i="15"/>
  <c r="G59" i="15"/>
  <c r="G69" i="15"/>
  <c r="G8" i="16"/>
  <c r="G17" i="16"/>
  <c r="G26" i="16"/>
  <c r="G35" i="16"/>
  <c r="G45" i="16"/>
  <c r="G54" i="16"/>
  <c r="G63" i="16"/>
  <c r="G12" i="17"/>
  <c r="G22" i="17"/>
  <c r="G33" i="17"/>
  <c r="G43" i="17"/>
  <c r="G57" i="17"/>
  <c r="G69" i="17"/>
  <c r="G7" i="22"/>
  <c r="G15" i="22"/>
  <c r="G23" i="22"/>
  <c r="G31" i="22"/>
  <c r="G40" i="22"/>
  <c r="G49" i="22"/>
  <c r="G10" i="26"/>
  <c r="G19" i="26"/>
  <c r="G28" i="26"/>
  <c r="G38" i="26"/>
  <c r="G47" i="26"/>
  <c r="G56" i="26"/>
  <c r="G62" i="22"/>
  <c r="G54" i="22"/>
  <c r="G46" i="22"/>
  <c r="G38" i="22"/>
  <c r="G9" i="22"/>
  <c r="G17" i="22"/>
  <c r="G25" i="22"/>
  <c r="G33" i="22"/>
  <c r="G42" i="22"/>
  <c r="G51" i="22"/>
  <c r="G60" i="22"/>
  <c r="E67" i="24"/>
  <c r="G12" i="26"/>
  <c r="G22" i="26"/>
  <c r="G31" i="26"/>
  <c r="G40" i="26"/>
  <c r="G49" i="26"/>
  <c r="G62" i="27"/>
  <c r="G54" i="27"/>
  <c r="G46" i="27"/>
  <c r="G38" i="27"/>
  <c r="G30" i="27"/>
  <c r="G22" i="27"/>
  <c r="G14" i="27"/>
  <c r="G6" i="27"/>
  <c r="G10" i="22"/>
  <c r="G18" i="22"/>
  <c r="G26" i="22"/>
  <c r="G34" i="22"/>
  <c r="G43" i="22"/>
  <c r="G52" i="22"/>
  <c r="G61" i="22"/>
  <c r="G61" i="26"/>
  <c r="G53" i="26"/>
  <c r="G45" i="26"/>
  <c r="G37" i="26"/>
  <c r="G29" i="26"/>
  <c r="G21" i="26"/>
  <c r="G13" i="26"/>
  <c r="G11" i="22"/>
  <c r="G19" i="22"/>
  <c r="G27" i="22"/>
  <c r="G35" i="22"/>
  <c r="G44" i="22"/>
  <c r="G53" i="22"/>
  <c r="G63" i="22"/>
  <c r="G61" i="24"/>
  <c r="G53" i="24"/>
  <c r="G45" i="24"/>
  <c r="G37" i="24"/>
  <c r="G29" i="24"/>
  <c r="G21" i="24"/>
  <c r="G13" i="24"/>
  <c r="G6" i="26"/>
  <c r="G15" i="26"/>
  <c r="G24" i="26"/>
  <c r="G33" i="26"/>
  <c r="G42" i="26"/>
  <c r="G51" i="26"/>
  <c r="G60" i="26"/>
  <c r="G7" i="27"/>
  <c r="G16" i="27"/>
  <c r="G25" i="27"/>
  <c r="G34" i="27"/>
  <c r="G43" i="27"/>
  <c r="G52" i="27"/>
  <c r="G61" i="27"/>
  <c r="E67" i="31"/>
  <c r="G12" i="22"/>
  <c r="G20" i="22"/>
  <c r="G28" i="22"/>
  <c r="G36" i="22"/>
  <c r="G45" i="22"/>
  <c r="G55" i="22"/>
  <c r="G34" i="24"/>
  <c r="G43" i="24"/>
  <c r="G52" i="24"/>
  <c r="G62" i="24"/>
  <c r="G7" i="26"/>
  <c r="G16" i="26"/>
  <c r="G25" i="26"/>
  <c r="G34" i="26"/>
  <c r="G43" i="26"/>
  <c r="G52" i="26"/>
  <c r="G62" i="26"/>
  <c r="G8" i="27"/>
  <c r="G17" i="27"/>
  <c r="G26" i="27"/>
  <c r="G35" i="27"/>
  <c r="G44" i="27"/>
  <c r="G53" i="27"/>
  <c r="G63" i="27"/>
  <c r="G13" i="22"/>
  <c r="G21" i="22"/>
  <c r="G29" i="22"/>
  <c r="G37" i="22"/>
  <c r="G47" i="22"/>
  <c r="G56" i="22"/>
  <c r="G8" i="24"/>
  <c r="G17" i="24"/>
  <c r="G26" i="24"/>
  <c r="G35" i="24"/>
  <c r="G44" i="24"/>
  <c r="G54" i="24"/>
  <c r="G63" i="24"/>
  <c r="G8" i="26"/>
  <c r="G17" i="26"/>
  <c r="G26" i="26"/>
  <c r="G35" i="26"/>
  <c r="G44" i="26"/>
  <c r="G54" i="26"/>
  <c r="G63" i="26"/>
  <c r="G9" i="27"/>
  <c r="G18" i="27"/>
  <c r="G27" i="27"/>
  <c r="G36" i="27"/>
  <c r="G45" i="27"/>
  <c r="G55" i="27"/>
  <c r="G9" i="30"/>
  <c r="G17" i="30"/>
  <c r="G25" i="30"/>
  <c r="G33" i="30"/>
  <c r="G41" i="30"/>
  <c r="G49" i="30"/>
  <c r="G10" i="31"/>
  <c r="G18" i="31"/>
  <c r="G26" i="31"/>
  <c r="G34" i="31"/>
  <c r="G42" i="31"/>
  <c r="G50" i="31"/>
  <c r="G58" i="31"/>
  <c r="G10" i="33"/>
  <c r="G18" i="33"/>
  <c r="G26" i="33"/>
  <c r="G34" i="33"/>
  <c r="G42" i="33"/>
  <c r="G50" i="33"/>
  <c r="G58" i="33"/>
  <c r="G12" i="35"/>
  <c r="G20" i="35"/>
  <c r="G28" i="35"/>
  <c r="G36" i="35"/>
  <c r="G44" i="35"/>
  <c r="G52" i="35"/>
  <c r="G60" i="35"/>
  <c r="G27" i="33"/>
  <c r="G35" i="33"/>
  <c r="G43" i="33"/>
  <c r="G51" i="33"/>
  <c r="G59" i="33"/>
  <c r="G13" i="31"/>
  <c r="G21" i="31"/>
  <c r="G29" i="31"/>
  <c r="G37" i="31"/>
  <c r="G45" i="31"/>
  <c r="G53" i="31"/>
  <c r="G61" i="31"/>
  <c r="G13" i="33"/>
  <c r="G21" i="33"/>
  <c r="G29" i="33"/>
  <c r="G37" i="33"/>
  <c r="G45" i="33"/>
  <c r="G53" i="33"/>
  <c r="G61" i="33"/>
  <c r="G15" i="35"/>
  <c r="G23" i="35"/>
  <c r="G31" i="35"/>
  <c r="G39" i="35"/>
  <c r="G47" i="35"/>
  <c r="G55" i="35"/>
  <c r="G63" i="35"/>
  <c r="G6" i="33"/>
  <c r="G14" i="33"/>
  <c r="G22" i="33"/>
  <c r="G30" i="33"/>
  <c r="G38" i="33"/>
  <c r="G46" i="33"/>
  <c r="G54" i="33"/>
  <c r="G62" i="33"/>
  <c r="G15" i="31"/>
  <c r="G23" i="31"/>
  <c r="G31" i="31"/>
  <c r="G39" i="31"/>
  <c r="G47" i="31"/>
  <c r="G55" i="31"/>
  <c r="G63" i="31"/>
  <c r="G7" i="33"/>
  <c r="G15" i="33"/>
  <c r="G23" i="33"/>
  <c r="G31" i="33"/>
  <c r="G39" i="33"/>
  <c r="G47" i="33"/>
  <c r="G55" i="33"/>
  <c r="G63" i="33"/>
  <c r="G41" i="35"/>
  <c r="G49" i="35"/>
  <c r="G57" i="35"/>
  <c r="G66" i="35"/>
  <c r="G8" i="33"/>
  <c r="G16" i="33"/>
  <c r="G24" i="33"/>
  <c r="G32" i="33"/>
  <c r="G40" i="33"/>
  <c r="G48" i="33"/>
  <c r="G56" i="33"/>
  <c r="G67" i="35"/>
  <c r="G25" i="31"/>
  <c r="G33" i="31"/>
  <c r="G41" i="31"/>
  <c r="G49" i="31"/>
  <c r="G57" i="31"/>
  <c r="G9" i="33"/>
  <c r="G17" i="33"/>
  <c r="G25" i="33"/>
  <c r="G33" i="33"/>
  <c r="G41" i="33"/>
  <c r="G49" i="33"/>
  <c r="G11" i="35"/>
  <c r="G19" i="35"/>
  <c r="G27" i="35"/>
  <c r="G35" i="35"/>
  <c r="G43" i="35"/>
  <c r="G51" i="35"/>
  <c r="G59" i="35"/>
</calcChain>
</file>

<file path=xl/sharedStrings.xml><?xml version="1.0" encoding="utf-8"?>
<sst xmlns="http://schemas.openxmlformats.org/spreadsheetml/2006/main" count="3376" uniqueCount="551">
  <si>
    <t>2021 Budget State-by-State Tables</t>
  </si>
  <si>
    <t>Table of Contents</t>
  </si>
  <si>
    <t>Table Number</t>
  </si>
  <si>
    <t>Agency and Bureau</t>
  </si>
  <si>
    <t>Program Name</t>
  </si>
  <si>
    <t>CFDA Number</t>
  </si>
  <si>
    <t>14-5</t>
  </si>
  <si>
    <t>Department of Agriculture,
Food and Nutrituion Service</t>
  </si>
  <si>
    <t>School Breakfast Program</t>
  </si>
  <si>
    <t>14-6</t>
  </si>
  <si>
    <t>National School Lunch Program</t>
  </si>
  <si>
    <t>14-7</t>
  </si>
  <si>
    <t>Special Supplemental Nutrition Program for Women, Infants, and Children</t>
  </si>
  <si>
    <t>14-8</t>
  </si>
  <si>
    <t>Child and Adult Care Food Program</t>
  </si>
  <si>
    <t>14-9</t>
  </si>
  <si>
    <t>State Administrative Matching Grants for the Supplemental Nutrition Assistance Program (Food Stamps)</t>
  </si>
  <si>
    <t>14-10</t>
  </si>
  <si>
    <t>Department of Education,
Office of Special Education and Rehabilitative Services</t>
  </si>
  <si>
    <t>Vocational Rehabilitation State Grants</t>
  </si>
  <si>
    <t>14-11</t>
  </si>
  <si>
    <t>Special Education-Grants to States</t>
  </si>
  <si>
    <t>14-12</t>
  </si>
  <si>
    <t>Department of Education,
Office of Elementary and Seconfary Education</t>
  </si>
  <si>
    <t>Title I Grants to Local Educational Agencies</t>
  </si>
  <si>
    <t>14-13</t>
  </si>
  <si>
    <t>Supporting Effective Instruction State Grants</t>
  </si>
  <si>
    <t>14-14</t>
  </si>
  <si>
    <t>Elementary and Secondary Education for the Disadvantaged Block Grant</t>
  </si>
  <si>
    <t/>
  </si>
  <si>
    <t>14-15</t>
  </si>
  <si>
    <t>Department of Health and Human Services,
Administration for Children and Families</t>
  </si>
  <si>
    <t>Temporary Assistance for Needy Families (TANF) - Family Assistance Grants (93.558)</t>
  </si>
  <si>
    <t>14-16</t>
  </si>
  <si>
    <t>Child Support Enforcement - Federal Share of State and Local Administrative Costs and Incentives (93.563)</t>
  </si>
  <si>
    <t>14-17</t>
  </si>
  <si>
    <t>Low Income Home Energy Assistance Program (93.568)</t>
  </si>
  <si>
    <t>14-18</t>
  </si>
  <si>
    <t xml:space="preserve"> Child Care and Development Block Grant (93.575)</t>
  </si>
  <si>
    <t>14-19</t>
  </si>
  <si>
    <t>Child Care and Development Fund - Mandatory (93.596a)</t>
  </si>
  <si>
    <t>93.596A</t>
  </si>
  <si>
    <t>14-20</t>
  </si>
  <si>
    <t>Child Care and Development Fund - Matching (93.596b)</t>
  </si>
  <si>
    <t>93.596B</t>
  </si>
  <si>
    <t>14-21</t>
  </si>
  <si>
    <t>Head Start (93.600)</t>
  </si>
  <si>
    <t>14-22</t>
  </si>
  <si>
    <t>Foster Care - Title IV-E (93.658)</t>
  </si>
  <si>
    <t>14-23</t>
  </si>
  <si>
    <t>Adoption Assistance (93.659)</t>
  </si>
  <si>
    <t>14-24</t>
  </si>
  <si>
    <t>Social Services Block Grant (93.667)</t>
  </si>
  <si>
    <t>14-25</t>
  </si>
  <si>
    <t>Department of Health and Human Services,
Centers for Medicare and Medicaid Services</t>
  </si>
  <si>
    <t>Children's Health Insurance Program (93.767)</t>
  </si>
  <si>
    <t>14-26</t>
  </si>
  <si>
    <t>Grants to States for Medicaid (93.778)</t>
  </si>
  <si>
    <t>14-27</t>
  </si>
  <si>
    <t>Department of Health and Human Services,
Health Resources and Services Administration</t>
  </si>
  <si>
    <t>Ryan White HIV/AIDS Treatment Modernization Act - Part B HIV Care Grants (93.917)</t>
  </si>
  <si>
    <t>14-28</t>
  </si>
  <si>
    <t>Department of Homeland Security,
Federal Emergency Management Agency</t>
  </si>
  <si>
    <t>Preparedness Grants</t>
  </si>
  <si>
    <t>97.067 et al</t>
  </si>
  <si>
    <t>14-29</t>
  </si>
  <si>
    <t>Department of Housing and Urban Development,
Community Planning and Development</t>
  </si>
  <si>
    <t>Community Development Block Grant</t>
  </si>
  <si>
    <t>14.218; 14.225; 14.228; 14.862</t>
  </si>
  <si>
    <t>14-30</t>
  </si>
  <si>
    <t>Community Development Block Grant - Disaster Recovery</t>
  </si>
  <si>
    <t>14.218; 14.228; 14.269</t>
  </si>
  <si>
    <t>14-31</t>
  </si>
  <si>
    <t>Department of Housing and Urban Development,
Public and Indian Housing Programs</t>
  </si>
  <si>
    <t>Section 8 Housing Choice Vouchers (14.871)</t>
  </si>
  <si>
    <t>14-32</t>
  </si>
  <si>
    <t>Public Housing Operating Fund (14.850)</t>
  </si>
  <si>
    <t>14-33</t>
  </si>
  <si>
    <t>Public Housing Capital Fund (14.872)</t>
  </si>
  <si>
    <t>14-34</t>
  </si>
  <si>
    <t>Department of Labor,
Employment and Training Administration</t>
  </si>
  <si>
    <t>Unemployment Insurance (17.225)</t>
  </si>
  <si>
    <t>14-35</t>
  </si>
  <si>
    <t>Department of Transportation,
Federal Aviation Administration</t>
  </si>
  <si>
    <t>Airport Improvement Program (20.106)</t>
  </si>
  <si>
    <t>14-36</t>
  </si>
  <si>
    <t>Department of Transportation,
Federal Highway Administration</t>
  </si>
  <si>
    <t>Highway Planning and Construction (20.205)</t>
  </si>
  <si>
    <t>14-37</t>
  </si>
  <si>
    <t>Department of Transportation,
Federal Transit Administration</t>
  </si>
  <si>
    <t>Federal Transit Formula Grants Program (20.507)</t>
  </si>
  <si>
    <t>14-38</t>
  </si>
  <si>
    <t>Enviromental Protection Agency,
Office of Water</t>
  </si>
  <si>
    <t>Capitalization Grant for Clean Water State Revolving Funds (66.458)</t>
  </si>
  <si>
    <t>14-39</t>
  </si>
  <si>
    <t>Capitalization Grant for Drinking Water State Revolving Fund (66.468)</t>
  </si>
  <si>
    <t>14-40</t>
  </si>
  <si>
    <t>Federal Communications Commission</t>
  </si>
  <si>
    <t>Universal Service Fund E-Rate</t>
  </si>
  <si>
    <t>Department of Agriculture, Food and Nutrituion Service</t>
  </si>
  <si>
    <t>12-3539-0-1-605</t>
  </si>
  <si>
    <t>Table 14-5. School Breakfast Program (10.553)</t>
  </si>
  <si>
    <t>(Obligations in thousands of dollars)</t>
  </si>
  <si>
    <t>State or Territory</t>
  </si>
  <si>
    <t>FY 2019 Actual</t>
  </si>
  <si>
    <t>Estimated FY 2020 obligations from:</t>
  </si>
  <si>
    <t>FY 2021 (estimated)</t>
  </si>
  <si>
    <t>FY 2021 Percentage of distributed total</t>
  </si>
  <si>
    <t>Previous authority</t>
  </si>
  <si>
    <t>New Authority</t>
  </si>
  <si>
    <t>Total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</si>
  <si>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</si>
  <si>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</si>
  <si>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</si>
  <si>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</si>
  <si>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</si>
  <si>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</si>
  <si>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</si>
  <si>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</si>
  <si>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</si>
  <si>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</si>
  <si>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</si>
  <si>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</si>
  <si>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</si>
  <si>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</si>
  <si>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</si>
  <si>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</si>
  <si>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</si>
  <si>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</si>
  <si>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</si>
  <si>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</si>
  <si>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</si>
  <si>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</si>
  <si>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</si>
  <si>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</si>
  <si>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</si>
  <si>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</si>
  <si>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</si>
  <si>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</si>
  <si>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</si>
  <si>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</si>
  <si>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</si>
  <si>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</si>
  <si>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</si>
  <si>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</si>
  <si>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</si>
  <si>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</si>
  <si>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</si>
  <si>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</si>
  <si>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</si>
  <si>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</si>
  <si>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</si>
  <si>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</si>
  <si>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</si>
  <si>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</si>
  <si>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</si>
  <si>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</si>
  <si>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</si>
  <si>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</si>
  <si>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</si>
  <si>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</si>
  <si>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</si>
  <si>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</si>
  <si>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</si>
  <si>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</si>
  <si>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</si>
  <si>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Freely Associated States</t>
  </si>
  <si>
    <t>Virgin Islands</t>
  </si>
  <si>
    <t>Indian Tribes</t>
  </si>
  <si>
    <t>Undistributed</t>
  </si>
  <si>
    <r>
      <t>1</t>
    </r>
    <r>
      <rPr>
        <b/>
        <sz val="10"/>
        <rFont val="Arial Narrow"/>
        <family val="2"/>
      </rPr>
      <t xml:space="preserve"> 100.00</t>
    </r>
  </si>
  <si>
    <t>* $500 or less or 0.005 percent or less.</t>
  </si>
  <si>
    <r>
      <t>1</t>
    </r>
    <r>
      <rPr>
        <sz val="10"/>
        <rFont val="Arial Narrow"/>
        <family val="2"/>
      </rPr>
      <t xml:space="preserve"> Excludes undistributed obligations.</t>
    </r>
  </si>
  <si>
    <t>Table 14-6. National School Lunch Program (10.555)</t>
  </si>
  <si>
    <t>12-3510-0-1-605</t>
  </si>
  <si>
    <t>Table 14-7. Special Supplemental Nutrition Program for Women, Infants, and Children (WIC) (10.557)</t>
  </si>
  <si>
    <t>Table 14-8. Child and Adult Care Food Program (10.558)</t>
  </si>
  <si>
    <t>12-3505-0-1-605</t>
  </si>
  <si>
    <t>Table 14-9. State Administrative Matching Grants for the Supplemental Nutrition Assistance Program (Food Stamps) (10.561)</t>
  </si>
  <si>
    <t>Department of Education, Office of Special Education and Rehabilitative Services</t>
  </si>
  <si>
    <t>91-0301-0-1-506</t>
  </si>
  <si>
    <t>Table 14-10. Vocational Rehabilitation Grants (84.126)</t>
  </si>
  <si>
    <t>91-0300-0-1-501</t>
  </si>
  <si>
    <t>Table 14-11. Special Education-Grants to States (84.027)</t>
  </si>
  <si>
    <t>Other</t>
  </si>
  <si>
    <t>Department of Education, Office of Elementary and Seconfary Education</t>
  </si>
  <si>
    <t>91-0900-0-1-501</t>
  </si>
  <si>
    <t>Table 14-12. Title I Grants to Local Educational Agencies (84.010)</t>
  </si>
  <si>
    <r>
      <t>1</t>
    </r>
    <r>
      <rPr>
        <sz val="10"/>
        <rFont val="Arial Narrow"/>
        <family val="2"/>
      </rPr>
      <t xml:space="preserve"> 0</t>
    </r>
  </si>
  <si>
    <t>......</t>
  </si>
  <si>
    <r>
      <t>1</t>
    </r>
    <r>
      <rPr>
        <sz val="10"/>
        <rFont val="Arial Narrow"/>
        <family val="2"/>
      </rPr>
      <t xml:space="preserve"> For fiscal year 2021, funding to continue activities supported in prior years by Title I Grants to Local Educational Agencies would be available through the proposed Elementary and Secondary Education for the Disadvantaged Block Grant.</t>
    </r>
  </si>
  <si>
    <t>91-1000-0-1-501</t>
  </si>
  <si>
    <t>Table 14-13. Supporting Effective Instruction State Grants (formerly Improving Teacher Quality State Grants) (84.367)</t>
  </si>
  <si>
    <r>
      <t>1</t>
    </r>
    <r>
      <rPr>
        <sz val="10"/>
        <rFont val="Arial Narrow"/>
        <family val="2"/>
      </rPr>
      <t xml:space="preserve"> For fiscal year 2021, funding to continue activities supported in prior years by Supporting Effective Instruction State Grants would be available through the proposed Elementary and Secondary Education for the Disadvantaged Block Grant.</t>
    </r>
  </si>
  <si>
    <t>Table 14-14.  ()</t>
  </si>
  <si>
    <r>
      <t>1</t>
    </r>
    <r>
      <rPr>
        <sz val="10"/>
        <rFont val="Arial Narrow"/>
        <family val="2"/>
      </rPr>
      <t xml:space="preserve"> 316,229</t>
    </r>
  </si>
  <si>
    <r>
      <t>1</t>
    </r>
    <r>
      <rPr>
        <sz val="10"/>
        <rFont val="Arial Narrow"/>
        <family val="2"/>
      </rPr>
      <t xml:space="preserve"> 56,903</t>
    </r>
  </si>
  <si>
    <r>
      <t>1</t>
    </r>
    <r>
      <rPr>
        <sz val="10"/>
        <rFont val="Arial Narrow"/>
        <family val="2"/>
      </rPr>
      <t xml:space="preserve"> 405,211</t>
    </r>
  </si>
  <si>
    <r>
      <t>1</t>
    </r>
    <r>
      <rPr>
        <sz val="10"/>
        <rFont val="Arial Narrow"/>
        <family val="2"/>
      </rPr>
      <t xml:space="preserve"> 195,664</t>
    </r>
  </si>
  <si>
    <r>
      <t>1</t>
    </r>
    <r>
      <rPr>
        <sz val="10"/>
        <rFont val="Arial Narrow"/>
        <family val="2"/>
      </rPr>
      <t xml:space="preserve"> 2,366,306</t>
    </r>
  </si>
  <si>
    <r>
      <t>1</t>
    </r>
    <r>
      <rPr>
        <sz val="10"/>
        <rFont val="Arial Narrow"/>
        <family val="2"/>
      </rPr>
      <t xml:space="preserve"> 182,493</t>
    </r>
  </si>
  <si>
    <r>
      <t>1</t>
    </r>
    <r>
      <rPr>
        <sz val="10"/>
        <rFont val="Arial Narrow"/>
        <family val="2"/>
      </rPr>
      <t xml:space="preserve"> 172,221</t>
    </r>
  </si>
  <si>
    <r>
      <t>1</t>
    </r>
    <r>
      <rPr>
        <sz val="10"/>
        <rFont val="Arial Narrow"/>
        <family val="2"/>
      </rPr>
      <t xml:space="preserve"> 65,096</t>
    </r>
  </si>
  <si>
    <r>
      <t>1</t>
    </r>
    <r>
      <rPr>
        <sz val="10"/>
        <rFont val="Arial Narrow"/>
        <family val="2"/>
      </rPr>
      <t xml:space="preserve"> 61,789</t>
    </r>
  </si>
  <si>
    <r>
      <t>1</t>
    </r>
    <r>
      <rPr>
        <sz val="10"/>
        <rFont val="Arial Narrow"/>
        <family val="2"/>
      </rPr>
      <t xml:space="preserve"> 1,115,543</t>
    </r>
  </si>
  <si>
    <r>
      <t>1</t>
    </r>
    <r>
      <rPr>
        <sz val="10"/>
        <rFont val="Arial Narrow"/>
        <family val="2"/>
      </rPr>
      <t xml:space="preserve"> 664,702</t>
    </r>
  </si>
  <si>
    <r>
      <t>1</t>
    </r>
    <r>
      <rPr>
        <sz val="10"/>
        <rFont val="Arial Narrow"/>
        <family val="2"/>
      </rPr>
      <t xml:space="preserve"> 65,001</t>
    </r>
  </si>
  <si>
    <r>
      <t>1</t>
    </r>
    <r>
      <rPr>
        <sz val="10"/>
        <rFont val="Arial Narrow"/>
        <family val="2"/>
      </rPr>
      <t xml:space="preserve"> 68,491</t>
    </r>
  </si>
  <si>
    <r>
      <t>1</t>
    </r>
    <r>
      <rPr>
        <sz val="10"/>
        <rFont val="Arial Narrow"/>
        <family val="2"/>
      </rPr>
      <t xml:space="preserve"> 785,402</t>
    </r>
  </si>
  <si>
    <r>
      <t>1</t>
    </r>
    <r>
      <rPr>
        <sz val="10"/>
        <rFont val="Arial Narrow"/>
        <family val="2"/>
      </rPr>
      <t xml:space="preserve"> 313,111</t>
    </r>
  </si>
  <si>
    <r>
      <t>1</t>
    </r>
    <r>
      <rPr>
        <sz val="10"/>
        <rFont val="Arial Narrow"/>
        <family val="2"/>
      </rPr>
      <t xml:space="preserve"> 121,225</t>
    </r>
  </si>
  <si>
    <r>
      <t>1</t>
    </r>
    <r>
      <rPr>
        <sz val="10"/>
        <rFont val="Arial Narrow"/>
        <family val="2"/>
      </rPr>
      <t xml:space="preserve"> 130,015</t>
    </r>
  </si>
  <si>
    <r>
      <t>1</t>
    </r>
    <r>
      <rPr>
        <sz val="10"/>
        <rFont val="Arial Narrow"/>
        <family val="2"/>
      </rPr>
      <t xml:space="preserve"> 319,247</t>
    </r>
  </si>
  <si>
    <r>
      <t>1</t>
    </r>
    <r>
      <rPr>
        <sz val="10"/>
        <rFont val="Arial Narrow"/>
        <family val="2"/>
      </rPr>
      <t xml:space="preserve"> 409,243</t>
    </r>
  </si>
  <si>
    <r>
      <t>1</t>
    </r>
    <r>
      <rPr>
        <sz val="10"/>
        <rFont val="Arial Narrow"/>
        <family val="2"/>
      </rPr>
      <t xml:space="preserve"> 64,783</t>
    </r>
  </si>
  <si>
    <r>
      <t>1</t>
    </r>
    <r>
      <rPr>
        <sz val="10"/>
        <rFont val="Arial Narrow"/>
        <family val="2"/>
      </rPr>
      <t xml:space="preserve"> 306,988</t>
    </r>
  </si>
  <si>
    <r>
      <t>1</t>
    </r>
    <r>
      <rPr>
        <sz val="10"/>
        <rFont val="Arial Narrow"/>
        <family val="2"/>
      </rPr>
      <t xml:space="preserve"> 286,323</t>
    </r>
  </si>
  <si>
    <r>
      <t>1</t>
    </r>
    <r>
      <rPr>
        <sz val="10"/>
        <rFont val="Arial Narrow"/>
        <family val="2"/>
      </rPr>
      <t xml:space="preserve"> 585,125</t>
    </r>
  </si>
  <si>
    <r>
      <t>1</t>
    </r>
    <r>
      <rPr>
        <sz val="10"/>
        <rFont val="Arial Narrow"/>
        <family val="2"/>
      </rPr>
      <t xml:space="preserve"> 204,024</t>
    </r>
  </si>
  <si>
    <r>
      <t>1</t>
    </r>
    <r>
      <rPr>
        <sz val="10"/>
        <rFont val="Arial Narrow"/>
        <family val="2"/>
      </rPr>
      <t xml:space="preserve"> 250,807</t>
    </r>
  </si>
  <si>
    <r>
      <t>1</t>
    </r>
    <r>
      <rPr>
        <sz val="10"/>
        <rFont val="Arial Narrow"/>
        <family val="2"/>
      </rPr>
      <t xml:space="preserve"> 303,381</t>
    </r>
  </si>
  <si>
    <r>
      <t>1</t>
    </r>
    <r>
      <rPr>
        <sz val="10"/>
        <rFont val="Arial Narrow"/>
        <family val="2"/>
      </rPr>
      <t xml:space="preserve"> 61,007</t>
    </r>
  </si>
  <si>
    <r>
      <t>1</t>
    </r>
    <r>
      <rPr>
        <sz val="10"/>
        <rFont val="Arial Narrow"/>
        <family val="2"/>
      </rPr>
      <t xml:space="preserve"> 86,079</t>
    </r>
  </si>
  <si>
    <r>
      <t>1</t>
    </r>
    <r>
      <rPr>
        <sz val="10"/>
        <rFont val="Arial Narrow"/>
        <family val="2"/>
      </rPr>
      <t xml:space="preserve"> 169,634</t>
    </r>
  </si>
  <si>
    <r>
      <t>1</t>
    </r>
    <r>
      <rPr>
        <sz val="10"/>
        <rFont val="Arial Narrow"/>
        <family val="2"/>
      </rPr>
      <t xml:space="preserve"> 55,389</t>
    </r>
  </si>
  <si>
    <r>
      <t>1</t>
    </r>
    <r>
      <rPr>
        <sz val="10"/>
        <rFont val="Arial Narrow"/>
        <family val="2"/>
      </rPr>
      <t xml:space="preserve"> 431,441</t>
    </r>
  </si>
  <si>
    <r>
      <t>1</t>
    </r>
    <r>
      <rPr>
        <sz val="10"/>
        <rFont val="Arial Narrow"/>
        <family val="2"/>
      </rPr>
      <t xml:space="preserve"> 153,357</t>
    </r>
  </si>
  <si>
    <r>
      <t>1</t>
    </r>
    <r>
      <rPr>
        <sz val="10"/>
        <rFont val="Arial Narrow"/>
        <family val="2"/>
      </rPr>
      <t xml:space="preserve"> 1,417,885</t>
    </r>
  </si>
  <si>
    <r>
      <t>1</t>
    </r>
    <r>
      <rPr>
        <sz val="10"/>
        <rFont val="Arial Narrow"/>
        <family val="2"/>
      </rPr>
      <t xml:space="preserve"> 563,064</t>
    </r>
  </si>
  <si>
    <r>
      <t>1</t>
    </r>
    <r>
      <rPr>
        <sz val="10"/>
        <rFont val="Arial Narrow"/>
        <family val="2"/>
      </rPr>
      <t xml:space="preserve"> 48,583</t>
    </r>
  </si>
  <si>
    <r>
      <t>1</t>
    </r>
    <r>
      <rPr>
        <sz val="10"/>
        <rFont val="Arial Narrow"/>
        <family val="2"/>
      </rPr>
      <t xml:space="preserve"> 697,283</t>
    </r>
  </si>
  <si>
    <r>
      <t>1</t>
    </r>
    <r>
      <rPr>
        <sz val="10"/>
        <rFont val="Arial Narrow"/>
        <family val="2"/>
      </rPr>
      <t xml:space="preserve"> 233,401</t>
    </r>
  </si>
  <si>
    <r>
      <t>1</t>
    </r>
    <r>
      <rPr>
        <sz val="10"/>
        <rFont val="Arial Narrow"/>
        <family val="2"/>
      </rPr>
      <t xml:space="preserve"> 174,726</t>
    </r>
  </si>
  <si>
    <r>
      <t>1</t>
    </r>
    <r>
      <rPr>
        <sz val="10"/>
        <rFont val="Arial Narrow"/>
        <family val="2"/>
      </rPr>
      <t xml:space="preserve"> 783,344</t>
    </r>
  </si>
  <si>
    <r>
      <t>1</t>
    </r>
    <r>
      <rPr>
        <sz val="10"/>
        <rFont val="Arial Narrow"/>
        <family val="2"/>
      </rPr>
      <t xml:space="preserve"> 66,282</t>
    </r>
  </si>
  <si>
    <r>
      <t>1</t>
    </r>
    <r>
      <rPr>
        <sz val="10"/>
        <rFont val="Arial Narrow"/>
        <family val="2"/>
      </rPr>
      <t xml:space="preserve"> 330,403</t>
    </r>
  </si>
  <si>
    <r>
      <t>1</t>
    </r>
    <r>
      <rPr>
        <sz val="10"/>
        <rFont val="Arial Narrow"/>
        <family val="2"/>
      </rPr>
      <t xml:space="preserve"> 389,537</t>
    </r>
  </si>
  <si>
    <r>
      <t>1</t>
    </r>
    <r>
      <rPr>
        <sz val="10"/>
        <rFont val="Arial Narrow"/>
        <family val="2"/>
      </rPr>
      <t xml:space="preserve"> 1,956,280</t>
    </r>
  </si>
  <si>
    <r>
      <t>1</t>
    </r>
    <r>
      <rPr>
        <sz val="10"/>
        <rFont val="Arial Narrow"/>
        <family val="2"/>
      </rPr>
      <t xml:space="preserve"> 96,306</t>
    </r>
  </si>
  <si>
    <r>
      <t>1</t>
    </r>
    <r>
      <rPr>
        <sz val="10"/>
        <rFont val="Arial Narrow"/>
        <family val="2"/>
      </rPr>
      <t xml:space="preserve"> 45,525</t>
    </r>
  </si>
  <si>
    <r>
      <t>1</t>
    </r>
    <r>
      <rPr>
        <sz val="10"/>
        <rFont val="Arial Narrow"/>
        <family val="2"/>
      </rPr>
      <t xml:space="preserve"> 327,425</t>
    </r>
  </si>
  <si>
    <r>
      <t>1</t>
    </r>
    <r>
      <rPr>
        <sz val="10"/>
        <rFont val="Arial Narrow"/>
        <family val="2"/>
      </rPr>
      <t xml:space="preserve"> 288,564</t>
    </r>
  </si>
  <si>
    <r>
      <t>1</t>
    </r>
    <r>
      <rPr>
        <sz val="10"/>
        <rFont val="Arial Narrow"/>
        <family val="2"/>
      </rPr>
      <t xml:space="preserve"> 118,630</t>
    </r>
  </si>
  <si>
    <r>
      <t>1</t>
    </r>
    <r>
      <rPr>
        <sz val="10"/>
        <rFont val="Arial Narrow"/>
        <family val="2"/>
      </rPr>
      <t xml:space="preserve"> 242,471</t>
    </r>
  </si>
  <si>
    <r>
      <t>1</t>
    </r>
    <r>
      <rPr>
        <sz val="10"/>
        <rFont val="Arial Narrow"/>
        <family val="2"/>
      </rPr>
      <t xml:space="preserve"> 48,328</t>
    </r>
  </si>
  <si>
    <r>
      <t>1</t>
    </r>
    <r>
      <rPr>
        <sz val="10"/>
        <rFont val="Arial Narrow"/>
        <family val="2"/>
      </rPr>
      <t xml:space="preserve"> 23,790</t>
    </r>
  </si>
  <si>
    <r>
      <t>1</t>
    </r>
    <r>
      <rPr>
        <sz val="10"/>
        <rFont val="Arial Narrow"/>
        <family val="2"/>
      </rPr>
      <t xml:space="preserve"> 25,776</t>
    </r>
  </si>
  <si>
    <r>
      <t>1</t>
    </r>
    <r>
      <rPr>
        <sz val="10"/>
        <rFont val="Arial Narrow"/>
        <family val="2"/>
      </rPr>
      <t xml:space="preserve"> 14,380</t>
    </r>
  </si>
  <si>
    <r>
      <t>1</t>
    </r>
    <r>
      <rPr>
        <sz val="10"/>
        <rFont val="Arial Narrow"/>
        <family val="2"/>
      </rPr>
      <t xml:space="preserve"> 465,063</t>
    </r>
  </si>
  <si>
    <r>
      <t>1</t>
    </r>
    <r>
      <rPr>
        <sz val="10"/>
        <rFont val="Arial Narrow"/>
        <family val="2"/>
      </rPr>
      <t xml:space="preserve"> 1,000</t>
    </r>
  </si>
  <si>
    <r>
      <t>1</t>
    </r>
    <r>
      <rPr>
        <sz val="10"/>
        <rFont val="Arial Narrow"/>
        <family val="2"/>
      </rPr>
      <t xml:space="preserve"> 12,411</t>
    </r>
  </si>
  <si>
    <r>
      <t>1</t>
    </r>
    <r>
      <rPr>
        <sz val="10"/>
        <rFont val="Arial Narrow"/>
        <family val="2"/>
      </rPr>
      <t xml:space="preserve"> 135,373</t>
    </r>
  </si>
  <si>
    <r>
      <t>1</t>
    </r>
    <r>
      <rPr>
        <sz val="10"/>
        <rFont val="Arial Narrow"/>
        <family val="2"/>
      </rPr>
      <t xml:space="preserve"> 24,363</t>
    </r>
  </si>
  <si>
    <r>
      <t>2</t>
    </r>
    <r>
      <rPr>
        <b/>
        <sz val="10"/>
        <rFont val="Arial Narrow"/>
        <family val="2"/>
      </rPr>
      <t xml:space="preserve"> 100.00</t>
    </r>
  </si>
  <si>
    <r>
      <t>1</t>
    </r>
    <r>
      <rPr>
        <sz val="10"/>
        <rFont val="Arial Narrow"/>
        <family val="2"/>
      </rPr>
      <t xml:space="preserve"> Final allocations will be reduced by the amount required to pay fiscal year 2021 continuation costs for competitive grant programs consolidated into the block grant.  The current high estimate for these continuation costs for fiscal year 2021 is $983 million; actual costs may be lower depending on the outcome of fiscal year 2020 grant competitions and continuation awards.</t>
    </r>
  </si>
  <si>
    <r>
      <t>2</t>
    </r>
    <r>
      <rPr>
        <sz val="10"/>
        <rFont val="Arial Narrow"/>
        <family val="2"/>
      </rPr>
      <t xml:space="preserve"> Excludes undistributed obligations.</t>
    </r>
  </si>
  <si>
    <t>Department of Health and Human Services, Administration for Children and Families</t>
  </si>
  <si>
    <t>75-1552-0-1-609</t>
  </si>
  <si>
    <t>Table 14-15. Temporary Assistance for Needy Families (TANF)-Family Assistance Grants (93.558)</t>
  </si>
  <si>
    <t>Migrant Program</t>
  </si>
  <si>
    <t>Marshall Islands</t>
  </si>
  <si>
    <t>Palau</t>
  </si>
  <si>
    <t>Training and Technical Assistance</t>
  </si>
  <si>
    <t>Discretionary Funds</t>
  </si>
  <si>
    <t>75-1501-0-1-609</t>
  </si>
  <si>
    <t>Table 14-16. Child Support Enforcement-Federal Share of State and Local Administrative Costs and Incentives (93.563)</t>
  </si>
  <si>
    <t>75-1502-0-1-609</t>
  </si>
  <si>
    <t>Table 14-17. Low Income Home Energy Assistance Program (93.568)</t>
  </si>
  <si>
    <t>Federated States of Micronesia</t>
  </si>
  <si>
    <t>75-1515-0-1-609</t>
  </si>
  <si>
    <t>Table 14-18. Child Care and Development Block Grant (93.575)</t>
  </si>
  <si>
    <t>75-1550-0-1-609</t>
  </si>
  <si>
    <t>Table 14-19. Child Care and Development Fund-Mandatory (93.596A)</t>
  </si>
  <si>
    <t>Table 14-20. Child Care and Development Fund-Matching (93.596B)</t>
  </si>
  <si>
    <t>75-1536-0-1-506</t>
  </si>
  <si>
    <t>Table 14-21. Head Start (93.600)</t>
  </si>
  <si>
    <t>75-1545-0-1-609</t>
  </si>
  <si>
    <t>Table 14-22. Foster Care-Title IV-E (93.658)</t>
  </si>
  <si>
    <t>Table 14-23. Adoption Assistance (93.659)</t>
  </si>
  <si>
    <t>75.1534-0-1-506</t>
  </si>
  <si>
    <t>Table 14-24. Social Services Block Grant (93.667)</t>
  </si>
  <si>
    <t>Other - Health Professional Workforce</t>
  </si>
  <si>
    <t>• The 2021 Budget proposes to eliminate the Social Services Block Grant (SSBG).</t>
  </si>
  <si>
    <t>Department of Health and Human Services, Centers for Medicare and Medicaid Services</t>
  </si>
  <si>
    <t>75-0515-0-1-551</t>
  </si>
  <si>
    <t>Table 14-25. Children's Health Insurance Program (93.767)</t>
  </si>
  <si>
    <t>75-0512-0-1-551</t>
  </si>
  <si>
    <t>Table 14-26. Grants to States for Medicaid (93.778)</t>
  </si>
  <si>
    <t>Survey &amp; Certification</t>
  </si>
  <si>
    <t>Fraud Control Units</t>
  </si>
  <si>
    <t>Vaccines For Children</t>
  </si>
  <si>
    <t>Department of Health and Human Services, Health Resources and Services Administration</t>
  </si>
  <si>
    <t>75-0350-0-1-550</t>
  </si>
  <si>
    <t>Table 14-27. Ryan White HIV/AIDS Treatment Modernization Act-Part B HIV Care Grants (93.917)</t>
  </si>
  <si>
    <r>
      <t>2</t>
    </r>
    <r>
      <rPr>
        <sz val="10"/>
        <rFont val="Arial Narrow"/>
        <family val="2"/>
      </rPr>
      <t xml:space="preserve"> 0</t>
    </r>
  </si>
  <si>
    <t>Republic of Palau</t>
  </si>
  <si>
    <r>
      <t>1</t>
    </r>
    <r>
      <rPr>
        <sz val="10"/>
        <rFont val="Arial Narrow"/>
        <family val="2"/>
      </rPr>
      <t xml:space="preserve"> FY 2020 data for each State and territory is not available.</t>
    </r>
  </si>
  <si>
    <r>
      <t>2</t>
    </r>
    <r>
      <rPr>
        <sz val="10"/>
        <rFont val="Arial Narrow"/>
        <family val="2"/>
      </rPr>
      <t xml:space="preserve"> FY 2021 data for each State and territory is not available.</t>
    </r>
  </si>
  <si>
    <t>Department of Homeland Security, Federal Emergency Management Agency</t>
  </si>
  <si>
    <t>70-0413-0-1-999 et al</t>
  </si>
  <si>
    <t>Table 14-28. FEMA Preparedness Grants (97.067 et al)</t>
  </si>
  <si>
    <r>
      <t>1, 2, 3, 5, 6, 7, 8</t>
    </r>
    <r>
      <rPr>
        <sz val="10"/>
        <rFont val="Arial Narrow"/>
        <family val="2"/>
      </rPr>
      <t xml:space="preserve"> 34,645</t>
    </r>
  </si>
  <si>
    <r>
      <t>1, 2, 3, 6, 7</t>
    </r>
    <r>
      <rPr>
        <sz val="10"/>
        <rFont val="Arial Narrow"/>
        <family val="2"/>
      </rPr>
      <t xml:space="preserve"> 10,542</t>
    </r>
  </si>
  <si>
    <r>
      <t>2, 6</t>
    </r>
    <r>
      <rPr>
        <sz val="10"/>
        <rFont val="Arial Narrow"/>
        <family val="2"/>
      </rPr>
      <t xml:space="preserve"> 46,880</t>
    </r>
  </si>
  <si>
    <r>
      <t>1, 2, 3, 5, 6, 7, 8</t>
    </r>
    <r>
      <rPr>
        <sz val="10"/>
        <rFont val="Arial Narrow"/>
        <family val="2"/>
      </rPr>
      <t xml:space="preserve"> 12,248</t>
    </r>
  </si>
  <si>
    <r>
      <t>1, 2, 3, 5, 6, 7, 8</t>
    </r>
    <r>
      <rPr>
        <sz val="10"/>
        <rFont val="Arial Narrow"/>
        <family val="2"/>
      </rPr>
      <t xml:space="preserve"> 330,508</t>
    </r>
  </si>
  <si>
    <r>
      <t>1, 2, 3, 6, 7, 8</t>
    </r>
    <r>
      <rPr>
        <sz val="10"/>
        <rFont val="Arial Narrow"/>
        <family val="2"/>
      </rPr>
      <t xml:space="preserve"> 19,904</t>
    </r>
  </si>
  <si>
    <r>
      <t>1, 2, 3, 5, 6, 7,</t>
    </r>
    <r>
      <rPr>
        <sz val="10"/>
        <rFont val="Arial Narrow"/>
        <family val="2"/>
      </rPr>
      <t xml:space="preserve"> 18,474</t>
    </r>
  </si>
  <si>
    <r>
      <t>1, 2, 3, 6, 7</t>
    </r>
    <r>
      <rPr>
        <sz val="10"/>
        <rFont val="Arial Narrow"/>
        <family val="2"/>
      </rPr>
      <t xml:space="preserve"> 9,423</t>
    </r>
  </si>
  <si>
    <r>
      <t>1, 2, 3, 6, 7, 8</t>
    </r>
    <r>
      <rPr>
        <sz val="10"/>
        <rFont val="Arial Narrow"/>
        <family val="2"/>
      </rPr>
      <t xml:space="preserve"> 75,255</t>
    </r>
  </si>
  <si>
    <r>
      <t>1, 2, 3, 4, 5, 6, 7</t>
    </r>
    <r>
      <rPr>
        <sz val="10"/>
        <rFont val="Arial Narrow"/>
        <family val="2"/>
      </rPr>
      <t xml:space="preserve"> 107,894</t>
    </r>
  </si>
  <si>
    <r>
      <t>1, 2, 3, 6, 7, 8</t>
    </r>
    <r>
      <rPr>
        <sz val="10"/>
        <rFont val="Arial Narrow"/>
        <family val="2"/>
      </rPr>
      <t xml:space="preserve"> 37,540</t>
    </r>
  </si>
  <si>
    <r>
      <t>1, 2, 3, 6, 7, 8</t>
    </r>
    <r>
      <rPr>
        <sz val="10"/>
        <rFont val="Arial Narrow"/>
        <family val="2"/>
      </rPr>
      <t xml:space="preserve"> 14,164</t>
    </r>
  </si>
  <si>
    <r>
      <t>1, 2, 3, 6, 7, 8</t>
    </r>
    <r>
      <rPr>
        <sz val="10"/>
        <rFont val="Arial Narrow"/>
        <family val="2"/>
      </rPr>
      <t xml:space="preserve"> 11,678</t>
    </r>
  </si>
  <si>
    <r>
      <t>1, 2, 3, 6, 7, 8</t>
    </r>
    <r>
      <rPr>
        <sz val="10"/>
        <rFont val="Arial Narrow"/>
        <family val="2"/>
      </rPr>
      <t xml:space="preserve"> 143,900</t>
    </r>
  </si>
  <si>
    <r>
      <t>1, 2, 3, 6, 7</t>
    </r>
    <r>
      <rPr>
        <sz val="10"/>
        <rFont val="Arial Narrow"/>
        <family val="2"/>
      </rPr>
      <t xml:space="preserve"> 35,709</t>
    </r>
  </si>
  <si>
    <r>
      <t>1, 2, 3, 6, 7</t>
    </r>
    <r>
      <rPr>
        <sz val="10"/>
        <rFont val="Arial Narrow"/>
        <family val="2"/>
      </rPr>
      <t xml:space="preserve"> 14,286</t>
    </r>
  </si>
  <si>
    <r>
      <t>1, 2, 3, 6, 7</t>
    </r>
    <r>
      <rPr>
        <sz val="10"/>
        <rFont val="Arial Narrow"/>
        <family val="2"/>
      </rPr>
      <t xml:space="preserve"> 10,526</t>
    </r>
  </si>
  <si>
    <r>
      <t>1, 2, 3, 6, 7</t>
    </r>
    <r>
      <rPr>
        <sz val="10"/>
        <rFont val="Arial Narrow"/>
        <family val="2"/>
      </rPr>
      <t xml:space="preserve"> 17,367</t>
    </r>
  </si>
  <si>
    <r>
      <t>1, 2, 3, 5, 6, 7</t>
    </r>
    <r>
      <rPr>
        <sz val="10"/>
        <rFont val="Arial Narrow"/>
        <family val="2"/>
      </rPr>
      <t xml:space="preserve"> 17,413</t>
    </r>
  </si>
  <si>
    <r>
      <t>1, 2, 3, 6</t>
    </r>
    <r>
      <rPr>
        <sz val="10"/>
        <rFont val="Arial Narrow"/>
        <family val="2"/>
      </rPr>
      <t xml:space="preserve"> 12,781</t>
    </r>
  </si>
  <si>
    <r>
      <t>1, 2, 3, 5, 6, 7, 8</t>
    </r>
    <r>
      <rPr>
        <sz val="10"/>
        <rFont val="Arial Narrow"/>
        <family val="2"/>
      </rPr>
      <t xml:space="preserve"> 54,465</t>
    </r>
  </si>
  <si>
    <r>
      <t>1, 2, 3, 5, 6, 7, 8</t>
    </r>
    <r>
      <rPr>
        <sz val="10"/>
        <rFont val="Arial Narrow"/>
        <family val="2"/>
      </rPr>
      <t xml:space="preserve"> 68,616</t>
    </r>
  </si>
  <si>
    <r>
      <t>1, 2, 3, 5, 6, 7</t>
    </r>
    <r>
      <rPr>
        <sz val="10"/>
        <rFont val="Arial Narrow"/>
        <family val="2"/>
      </rPr>
      <t xml:space="preserve"> 43,078</t>
    </r>
  </si>
  <si>
    <r>
      <t>1, 2, 3, 5, 6, 7, 8</t>
    </r>
    <r>
      <rPr>
        <sz val="10"/>
        <rFont val="Arial Narrow"/>
        <family val="2"/>
      </rPr>
      <t xml:space="preserve"> 27,714</t>
    </r>
  </si>
  <si>
    <r>
      <t>1, 2, 3, 5, 6, 7, 8</t>
    </r>
    <r>
      <rPr>
        <sz val="10"/>
        <rFont val="Arial Narrow"/>
        <family val="2"/>
      </rPr>
      <t xml:space="preserve"> 16,596</t>
    </r>
  </si>
  <si>
    <r>
      <t>1, 2, 3, 6, 7</t>
    </r>
    <r>
      <rPr>
        <sz val="10"/>
        <rFont val="Arial Narrow"/>
        <family val="2"/>
      </rPr>
      <t xml:space="preserve"> 27,746</t>
    </r>
  </si>
  <si>
    <r>
      <t>1, 2, 3, 6</t>
    </r>
    <r>
      <rPr>
        <sz val="10"/>
        <rFont val="Arial Narrow"/>
        <family val="2"/>
      </rPr>
      <t xml:space="preserve"> 11,862</t>
    </r>
  </si>
  <si>
    <r>
      <t>1, 2, 3, 6</t>
    </r>
    <r>
      <rPr>
        <sz val="10"/>
        <rFont val="Arial Narrow"/>
        <family val="2"/>
      </rPr>
      <t xml:space="preserve"> 10,730</t>
    </r>
  </si>
  <si>
    <r>
      <t>1, 2, 3, 6</t>
    </r>
    <r>
      <rPr>
        <sz val="10"/>
        <rFont val="Arial Narrow"/>
        <family val="2"/>
      </rPr>
      <t xml:space="preserve"> 17,925</t>
    </r>
  </si>
  <si>
    <r>
      <t>1, 2, 3, 6</t>
    </r>
    <r>
      <rPr>
        <sz val="10"/>
        <rFont val="Arial Narrow"/>
        <family val="2"/>
      </rPr>
      <t xml:space="preserve"> 10,970</t>
    </r>
  </si>
  <si>
    <r>
      <t>1, 2, 3, 4, 5, 6, 7, 8</t>
    </r>
    <r>
      <rPr>
        <sz val="10"/>
        <rFont val="Arial Narrow"/>
        <family val="2"/>
      </rPr>
      <t xml:space="preserve"> 85,644</t>
    </r>
  </si>
  <si>
    <r>
      <t>1, 2, 2, 4, 6</t>
    </r>
    <r>
      <rPr>
        <sz val="10"/>
        <rFont val="Arial Narrow"/>
        <family val="2"/>
      </rPr>
      <t xml:space="preserve"> 13,694</t>
    </r>
  </si>
  <si>
    <r>
      <t>1, 2, 3, 4, 5, 6, 7, 8</t>
    </r>
    <r>
      <rPr>
        <sz val="10"/>
        <rFont val="Arial Narrow"/>
        <family val="2"/>
      </rPr>
      <t xml:space="preserve"> 393,676</t>
    </r>
  </si>
  <si>
    <r>
      <t>1, 2, 3, 6, 7</t>
    </r>
    <r>
      <rPr>
        <sz val="10"/>
        <rFont val="Arial Narrow"/>
        <family val="2"/>
      </rPr>
      <t xml:space="preserve"> 44,450</t>
    </r>
  </si>
  <si>
    <r>
      <t>1, 2, 3, 6</t>
    </r>
    <r>
      <rPr>
        <sz val="10"/>
        <rFont val="Arial Narrow"/>
        <family val="2"/>
      </rPr>
      <t xml:space="preserve"> 9,848</t>
    </r>
  </si>
  <si>
    <r>
      <t>1, 2, 3, 6, 7</t>
    </r>
    <r>
      <rPr>
        <sz val="10"/>
        <rFont val="Arial Narrow"/>
        <family val="2"/>
      </rPr>
      <t xml:space="preserve"> 54,325</t>
    </r>
  </si>
  <si>
    <r>
      <t>1, 2, 3, 6</t>
    </r>
    <r>
      <rPr>
        <sz val="10"/>
        <rFont val="Arial Narrow"/>
        <family val="2"/>
      </rPr>
      <t xml:space="preserve"> 17,929</t>
    </r>
  </si>
  <si>
    <r>
      <t>1, 2, 3, 6, 7, 8</t>
    </r>
    <r>
      <rPr>
        <sz val="10"/>
        <rFont val="Arial Narrow"/>
        <family val="2"/>
      </rPr>
      <t xml:space="preserve"> 29,716</t>
    </r>
  </si>
  <si>
    <r>
      <t>1, 2, 3, 5, 6  7, 8</t>
    </r>
    <r>
      <rPr>
        <sz val="10"/>
        <rFont val="Arial Narrow"/>
        <family val="2"/>
      </rPr>
      <t xml:space="preserve"> 80,255</t>
    </r>
  </si>
  <si>
    <r>
      <t>1, 2, 3, 6, 7</t>
    </r>
    <r>
      <rPr>
        <sz val="10"/>
        <rFont val="Arial Narrow"/>
        <family val="2"/>
      </rPr>
      <t xml:space="preserve"> 17,302</t>
    </r>
  </si>
  <si>
    <r>
      <t>1, 2, 3, 6, 7</t>
    </r>
    <r>
      <rPr>
        <sz val="10"/>
        <rFont val="Arial Narrow"/>
        <family val="2"/>
      </rPr>
      <t xml:space="preserve"> 25,203</t>
    </r>
  </si>
  <si>
    <r>
      <t>1, 2, 3, 6</t>
    </r>
    <r>
      <rPr>
        <sz val="10"/>
        <rFont val="Arial Narrow"/>
        <family val="2"/>
      </rPr>
      <t xml:space="preserve"> 9,025</t>
    </r>
  </si>
  <si>
    <r>
      <t>1, 2, 3, 6, 7</t>
    </r>
    <r>
      <rPr>
        <sz val="10"/>
        <rFont val="Arial Narrow"/>
        <family val="2"/>
      </rPr>
      <t xml:space="preserve"> 28,078</t>
    </r>
  </si>
  <si>
    <r>
      <t>1, 2, 3, 5, 6, 7, 8</t>
    </r>
    <r>
      <rPr>
        <sz val="10"/>
        <rFont val="Arial Narrow"/>
        <family val="2"/>
      </rPr>
      <t xml:space="preserve"> 174,605</t>
    </r>
  </si>
  <si>
    <r>
      <t>1, 2, 3, 5, 6, 8</t>
    </r>
    <r>
      <rPr>
        <sz val="10"/>
        <rFont val="Arial Narrow"/>
        <family val="2"/>
      </rPr>
      <t xml:space="preserve"> 12,131</t>
    </r>
  </si>
  <si>
    <r>
      <t>1, 2, 6</t>
    </r>
    <r>
      <rPr>
        <sz val="10"/>
        <rFont val="Arial Narrow"/>
        <family val="2"/>
      </rPr>
      <t xml:space="preserve"> 10,004</t>
    </r>
  </si>
  <si>
    <r>
      <t>1, 2, 3, 5, 6, 7</t>
    </r>
    <r>
      <rPr>
        <sz val="10"/>
        <rFont val="Arial Narrow"/>
        <family val="2"/>
      </rPr>
      <t xml:space="preserve"> 47,440</t>
    </r>
  </si>
  <si>
    <r>
      <t>1, 2, 3, 5, 6, 7, 8</t>
    </r>
    <r>
      <rPr>
        <sz val="10"/>
        <rFont val="Arial Narrow"/>
        <family val="2"/>
      </rPr>
      <t xml:space="preserve"> 56,728</t>
    </r>
  </si>
  <si>
    <r>
      <t>1, 2, 3, 5, 6, 7</t>
    </r>
    <r>
      <rPr>
        <sz val="10"/>
        <rFont val="Arial Narrow"/>
        <family val="2"/>
      </rPr>
      <t xml:space="preserve"> 12,672</t>
    </r>
  </si>
  <si>
    <r>
      <t>1, 2, 3, 5, 6, 7, 8</t>
    </r>
    <r>
      <rPr>
        <sz val="10"/>
        <rFont val="Arial Narrow"/>
        <family val="2"/>
      </rPr>
      <t xml:space="preserve"> 17,896</t>
    </r>
  </si>
  <si>
    <r>
      <t>1, 2, 3, 6</t>
    </r>
    <r>
      <rPr>
        <sz val="10"/>
        <rFont val="Arial Narrow"/>
        <family val="2"/>
      </rPr>
      <t xml:space="preserve"> 8,535</t>
    </r>
  </si>
  <si>
    <r>
      <t>2, 6</t>
    </r>
    <r>
      <rPr>
        <sz val="10"/>
        <rFont val="Arial Narrow"/>
        <family val="2"/>
      </rPr>
      <t xml:space="preserve"> 2,007</t>
    </r>
  </si>
  <si>
    <r>
      <t>1, 2, 3, 5, 6,  7, 8</t>
    </r>
    <r>
      <rPr>
        <sz val="10"/>
        <rFont val="Arial Narrow"/>
        <family val="2"/>
      </rPr>
      <t xml:space="preserve"> 2,308</t>
    </r>
  </si>
  <si>
    <r>
      <t>2</t>
    </r>
    <r>
      <rPr>
        <sz val="10"/>
        <rFont val="Arial Narrow"/>
        <family val="2"/>
      </rPr>
      <t xml:space="preserve"> 1,908</t>
    </r>
  </si>
  <si>
    <r>
      <t>1, 2, 3, 7</t>
    </r>
    <r>
      <rPr>
        <sz val="10"/>
        <rFont val="Arial Narrow"/>
        <family val="2"/>
      </rPr>
      <t xml:space="preserve"> 11,722</t>
    </r>
  </si>
  <si>
    <r>
      <t>2</t>
    </r>
    <r>
      <rPr>
        <sz val="10"/>
        <rFont val="Arial Narrow"/>
        <family val="2"/>
      </rPr>
      <t xml:space="preserve"> 100</t>
    </r>
  </si>
  <si>
    <r>
      <t>2, 3, 6</t>
    </r>
    <r>
      <rPr>
        <sz val="10"/>
        <rFont val="Arial Narrow"/>
        <family val="2"/>
      </rPr>
      <t xml:space="preserve"> 4,818</t>
    </r>
  </si>
  <si>
    <r>
      <t>1, 3, 4,</t>
    </r>
    <r>
      <rPr>
        <sz val="10"/>
        <rFont val="Arial Narrow"/>
        <family val="2"/>
      </rPr>
      <t xml:space="preserve"> 741,000</t>
    </r>
  </si>
  <si>
    <r>
      <t>2, 5, 6, 7, 8</t>
    </r>
    <r>
      <rPr>
        <sz val="10"/>
        <rFont val="Arial Narrow"/>
        <family val="2"/>
      </rPr>
      <t xml:space="preserve"> 1,770,000</t>
    </r>
  </si>
  <si>
    <r>
      <t>1, 2, 3, 4, 5, 6, 7, 8, 9</t>
    </r>
    <r>
      <rPr>
        <sz val="10"/>
        <rFont val="Arial Narrow"/>
        <family val="2"/>
      </rPr>
      <t xml:space="preserve"> 1,861,451</t>
    </r>
  </si>
  <si>
    <t>• 97.083 SAFER</t>
  </si>
  <si>
    <t>• 97.134 Presidential Residence Protection Security Grant</t>
  </si>
  <si>
    <t>• 97.057 Intercity Bus Security Grant Program</t>
  </si>
  <si>
    <t>• 97.008 Non-Profit Security Grant Program</t>
  </si>
  <si>
    <t>• 97.056 Port Security Grant Program</t>
  </si>
  <si>
    <t>• 97.075 Transit Security Grant Program</t>
  </si>
  <si>
    <t>• Includes obligation of FY20/21 (two-year appropriations)</t>
  </si>
  <si>
    <r>
      <t>1</t>
    </r>
    <r>
      <rPr>
        <sz val="10"/>
        <rFont val="Arial Narrow"/>
        <family val="2"/>
      </rPr>
      <t xml:space="preserve"> 97.044 Assistance to Firefighters Grants (AFG)</t>
    </r>
  </si>
  <si>
    <r>
      <t>2</t>
    </r>
    <r>
      <rPr>
        <sz val="10"/>
        <rFont val="Arial Narrow"/>
        <family val="2"/>
      </rPr>
      <t xml:space="preserve"> 97.042 EMPG, 97.067 HSGP</t>
    </r>
  </si>
  <si>
    <t>Department of Housing and Urban Development, Community Planning and Development</t>
  </si>
  <si>
    <t>86-0162-0-1-451</t>
  </si>
  <si>
    <t>Table 14-29. Community Development Block Grant (14.218; 14.225; 14.228; 14.862)</t>
  </si>
  <si>
    <t>Table 14-30. Community Development Block Grant - Disaster Recovery (14.218; 14.228; 14.269)</t>
  </si>
  <si>
    <t>Department of Housing and Urban Development, Public and Indian Housing Programs</t>
  </si>
  <si>
    <t>86-0302-0-1-604</t>
  </si>
  <si>
    <t>Table 14-31. Section 8 Housing Choice Vouchers (14.871)</t>
  </si>
  <si>
    <r>
      <t>1</t>
    </r>
    <r>
      <rPr>
        <sz val="10"/>
        <rFont val="Arial Narrow"/>
        <family val="2"/>
      </rPr>
      <t xml:space="preserve"> 276,474</t>
    </r>
  </si>
  <si>
    <r>
      <t>2</t>
    </r>
    <r>
      <rPr>
        <sz val="10"/>
        <rFont val="Arial Narrow"/>
        <family val="2"/>
      </rPr>
      <t xml:space="preserve"> 318,491</t>
    </r>
  </si>
  <si>
    <r>
      <t>3</t>
    </r>
    <r>
      <rPr>
        <sz val="10"/>
        <rFont val="Arial Narrow"/>
        <family val="2"/>
      </rPr>
      <t xml:space="preserve"> 263,525</t>
    </r>
  </si>
  <si>
    <r>
      <t>1</t>
    </r>
    <r>
      <rPr>
        <sz val="10"/>
        <rFont val="Arial Narrow"/>
        <family val="2"/>
      </rPr>
      <t xml:space="preserve"> Includes obligations for the Contract Renewal Set-Aside, Tenant Protection Vouchers, HUD-VA Supportive Housing (HUD-VASH), Tribal HUD-VASH, Rental Assistance Demonstration (RAD) conversions, Family Unification Program (FUP) vouchers, and Family Mobility Demonstration vouchers.  This also includes the rescission of $5.8 million in Disaster Displacement recaptures, (originally awarded under P.L. 110-329), in accordance with the Further Consolidated Appropriations Act, 2020 (P.L. 116-94).</t>
    </r>
  </si>
  <si>
    <r>
      <t>2</t>
    </r>
    <r>
      <rPr>
        <sz val="10"/>
        <rFont val="Arial Narrow"/>
        <family val="2"/>
      </rPr>
      <t xml:space="preserve"> Includes obligations for the Contract Renewal Set-Aside, Tenant Protection Vouchers, HUD-VASH, Tribal HUD-VASH, RAD conversions, FUP vouchers, and Family Mobility Demonstration vouchers.</t>
    </r>
  </si>
  <si>
    <r>
      <t>3</t>
    </r>
    <r>
      <rPr>
        <sz val="10"/>
        <rFont val="Arial Narrow"/>
        <family val="2"/>
      </rPr>
      <t xml:space="preserve"> Includes obligations for Contract Renewal Set-Aside, Tenant Protection Vouchers, and RAD conversions.</t>
    </r>
  </si>
  <si>
    <t>86-0163-0-1-604</t>
  </si>
  <si>
    <t>Table 14-32. Public Housing Operating Fund (14.850)</t>
  </si>
  <si>
    <t>86-0304-0-1-604</t>
  </si>
  <si>
    <t>Table 14-33. Public Housing Capital Fund (14.872)</t>
  </si>
  <si>
    <t>Department of Labor, Employment and Training Administration</t>
  </si>
  <si>
    <t>16-0179-0-1-603</t>
  </si>
  <si>
    <t>Table 14-34. Unemployment Insurance (17.225)</t>
  </si>
  <si>
    <t>HHS</t>
  </si>
  <si>
    <t>NASWA</t>
  </si>
  <si>
    <t>Department of Transportation, Federal Aviation Administration</t>
  </si>
  <si>
    <t>69-8106-0-7-402</t>
  </si>
  <si>
    <t>Table 14-35. Airport Improvement Program (20.106)</t>
  </si>
  <si>
    <t>Department of Transportation, Federal Highway Administration</t>
  </si>
  <si>
    <t>69-8083-0-7-401</t>
  </si>
  <si>
    <t>Table 14-36. Highway Planning and Construction (20.205)</t>
  </si>
  <si>
    <r>
      <t>1</t>
    </r>
    <r>
      <rPr>
        <sz val="10"/>
        <rFont val="Arial Narrow"/>
        <family val="2"/>
      </rPr>
      <t xml:space="preserve"> 665,393</t>
    </r>
  </si>
  <si>
    <r>
      <t>1</t>
    </r>
    <r>
      <rPr>
        <sz val="10"/>
        <rFont val="Arial Narrow"/>
        <family val="2"/>
      </rPr>
      <t xml:space="preserve"> 7,579,402</t>
    </r>
  </si>
  <si>
    <t>• This table also includes budget account number 69-0500-0-1-401 and 69-0548-0-1-401.</t>
  </si>
  <si>
    <r>
      <t>1</t>
    </r>
    <r>
      <rPr>
        <sz val="10"/>
        <rFont val="Arial Narrow"/>
        <family val="2"/>
      </rPr>
      <t xml:space="preserve"> This amount includes funding for allocated programs, which has not been identified as being provided to a specific State at this time.       </t>
    </r>
  </si>
  <si>
    <t>Department of Transportation, Federal Transit Administration</t>
  </si>
  <si>
    <t>69-8350-0-7-401</t>
  </si>
  <si>
    <t>Table 14-37. Transit Formula Grants Programs (20.507)</t>
  </si>
  <si>
    <t>Enviromental Protection Agency, Office of Water</t>
  </si>
  <si>
    <t>68-0103-0-1-304</t>
  </si>
  <si>
    <t>Table 14-38. Capitalization Grants for Clean Water State Revolving Fund (66.458)</t>
  </si>
  <si>
    <t>Interagency Agreements with Indian Health Service</t>
  </si>
  <si>
    <r>
      <t>1</t>
    </r>
    <r>
      <rPr>
        <sz val="10"/>
        <rFont val="Arial Narrow"/>
        <family val="2"/>
      </rPr>
      <t xml:space="preserve"> 4,487</t>
    </r>
  </si>
  <si>
    <t>American Iron and Steel Management and Oversight</t>
  </si>
  <si>
    <r>
      <t>2</t>
    </r>
    <r>
      <rPr>
        <sz val="10"/>
        <rFont val="Arial Narrow"/>
        <family val="2"/>
      </rPr>
      <t xml:space="preserve"> 745</t>
    </r>
  </si>
  <si>
    <t>Northbridge Group Incorporated</t>
  </si>
  <si>
    <r>
      <t>3</t>
    </r>
    <r>
      <rPr>
        <sz val="10"/>
        <rFont val="Arial Narrow"/>
        <family val="2"/>
      </rPr>
      <t xml:space="preserve"> 108</t>
    </r>
  </si>
  <si>
    <t>NATIONAL OLDER WORKER CAREER CENTER, INC.</t>
  </si>
  <si>
    <r>
      <t>4</t>
    </r>
    <r>
      <rPr>
        <sz val="10"/>
        <rFont val="Arial Narrow"/>
        <family val="2"/>
      </rPr>
      <t xml:space="preserve"> 25</t>
    </r>
  </si>
  <si>
    <r>
      <t>5</t>
    </r>
    <r>
      <rPr>
        <b/>
        <sz val="10"/>
        <rFont val="Arial Narrow"/>
        <family val="2"/>
      </rPr>
      <t xml:space="preserve"> 100.00</t>
    </r>
  </si>
  <si>
    <r>
      <t>1</t>
    </r>
    <r>
      <rPr>
        <sz val="10"/>
        <rFont val="Arial Narrow"/>
        <family val="2"/>
      </rPr>
      <t xml:space="preserve"> Interagency Agreements with the Indian Health Service (IHS) to provide services to increase basic drinking water access by providing drinking water infrastructure to Indian Tribes.</t>
    </r>
  </si>
  <si>
    <r>
      <t>2</t>
    </r>
    <r>
      <rPr>
        <sz val="10"/>
        <rFont val="Arial Narrow"/>
        <family val="2"/>
      </rPr>
      <t xml:space="preserve"> Section 424 of P.L. 114-113 which amended the CWA provides EPA the authority to retain up to 0.25 percent of CWSRF and DWSRF appropriated funds for American Iron and Steel Management and Oversight.</t>
    </r>
  </si>
  <si>
    <r>
      <t>3</t>
    </r>
    <r>
      <rPr>
        <sz val="10"/>
        <rFont val="Arial Narrow"/>
        <family val="2"/>
      </rPr>
      <t xml:space="preserve"> Contract to Northbridge Group Incorporated to develop a loan and grants tracking system for State and Tribal  Grants.</t>
    </r>
  </si>
  <si>
    <r>
      <t>4</t>
    </r>
    <r>
      <rPr>
        <sz val="10"/>
        <rFont val="Arial Narrow"/>
        <family val="2"/>
      </rPr>
      <t xml:space="preserve"> Senior Environmental Employment Program Grants to fund enrollees to work to support regional operations.  </t>
    </r>
  </si>
  <si>
    <r>
      <t>5</t>
    </r>
    <r>
      <rPr>
        <sz val="10"/>
        <rFont val="Arial Narrow"/>
        <family val="2"/>
      </rPr>
      <t xml:space="preserve"> Excludes undistributed obligations.</t>
    </r>
  </si>
  <si>
    <t>Table 14-39. Capitalization Grants for Drinking Water State Revolving Fund (66.468)</t>
  </si>
  <si>
    <r>
      <t>1</t>
    </r>
    <r>
      <rPr>
        <sz val="10"/>
        <rFont val="Arial Narrow"/>
        <family val="2"/>
      </rPr>
      <t xml:space="preserve"> 3,055</t>
    </r>
  </si>
  <si>
    <t>UCMR</t>
  </si>
  <si>
    <r>
      <t>2</t>
    </r>
    <r>
      <rPr>
        <sz val="10"/>
        <rFont val="Arial Narrow"/>
        <family val="2"/>
      </rPr>
      <t xml:space="preserve"> 2,005</t>
    </r>
  </si>
  <si>
    <r>
      <t>3</t>
    </r>
    <r>
      <rPr>
        <sz val="10"/>
        <rFont val="Arial Narrow"/>
        <family val="2"/>
      </rPr>
      <t xml:space="preserve"> 67</t>
    </r>
  </si>
  <si>
    <r>
      <t>4</t>
    </r>
    <r>
      <rPr>
        <sz val="10"/>
        <rFont val="Arial Narrow"/>
        <family val="2"/>
      </rPr>
      <t xml:space="preserve"> 50</t>
    </r>
  </si>
  <si>
    <t>Process Applications Inc.</t>
  </si>
  <si>
    <r>
      <t>5</t>
    </r>
    <r>
      <rPr>
        <sz val="10"/>
        <rFont val="Arial Narrow"/>
        <family val="2"/>
      </rPr>
      <t xml:space="preserve"> 80</t>
    </r>
  </si>
  <si>
    <r>
      <t>6</t>
    </r>
    <r>
      <rPr>
        <b/>
        <sz val="10"/>
        <rFont val="Arial Narrow"/>
        <family val="2"/>
      </rPr>
      <t xml:space="preserve"> 100.00</t>
    </r>
  </si>
  <si>
    <r>
      <t>1</t>
    </r>
    <r>
      <rPr>
        <sz val="10"/>
        <rFont val="Arial Narrow"/>
        <family val="2"/>
      </rPr>
      <t xml:space="preserve"> Section 424 of P.L. 114-113 which amended the CWA provides EPA the authority to retain up to 0.25 percent of CWSRF and DWSRF appropriated funds for American Iron and Steel Management and Oversight.</t>
    </r>
  </si>
  <si>
    <r>
      <t>2</t>
    </r>
    <r>
      <rPr>
        <sz val="10"/>
        <rFont val="Arial Narrow"/>
        <family val="2"/>
      </rPr>
      <t xml:space="preserve"> UCMR set aside: These funds are a set-aside of the DWSRF program ($2 million annually) to pay for the cost of monitoring for unregulated contaminants at systems serving fewer than 10,000 people. EPA uses the Unregulated Contaminant Monitoring (UCM) program to collect data for contaminants suspected to be present in drinking water, but that do not have health-based standards set under the Safe Drinking Water Act (SDWA) and these funds are for the administration, management, and oversight associated with the American Iron and Steel Requirement. 0.25% is set-aside from the DWSRF for this purpose.</t>
    </r>
  </si>
  <si>
    <r>
      <t>3</t>
    </r>
    <r>
      <rPr>
        <sz val="10"/>
        <rFont val="Arial Narrow"/>
        <family val="2"/>
      </rPr>
      <t xml:space="preserve"> Contract to Northbridge Group Incorporated to develop a loan and grants tracking system for the Drinking Water State Revolving Fund Grant.</t>
    </r>
  </si>
  <si>
    <r>
      <t>4</t>
    </r>
    <r>
      <rPr>
        <sz val="10"/>
        <rFont val="Arial Narrow"/>
        <family val="2"/>
      </rPr>
      <t xml:space="preserve"> Senior Environmental Employment Program Grants to fund enrollees to work to support regional operations.</t>
    </r>
  </si>
  <si>
    <r>
      <t>5</t>
    </r>
    <r>
      <rPr>
        <sz val="10"/>
        <rFont val="Arial Narrow"/>
        <family val="2"/>
      </rPr>
      <t xml:space="preserve"> Process Applications Inc. to provide technical support for Drinking Water optimization and microbial performance based trainings.</t>
    </r>
  </si>
  <si>
    <r>
      <t>6</t>
    </r>
    <r>
      <rPr>
        <sz val="10"/>
        <rFont val="Arial Narrow"/>
        <family val="2"/>
      </rPr>
      <t xml:space="preserve"> Excludes undistributed obligations.</t>
    </r>
  </si>
  <si>
    <t>27-5183-0-2-376</t>
  </si>
  <si>
    <t>Table 14-40. Universal Service Fund E-Rate ()</t>
  </si>
  <si>
    <r>
      <t>4</t>
    </r>
    <r>
      <rPr>
        <sz val="10"/>
        <rFont val="Arial Narrow"/>
        <family val="2"/>
      </rPr>
      <t xml:space="preserve"> The 2021 Budget proposes a new Moving to Work account that includes activities also funded by this account. For state-by-state purposes, FY2021 Moving to Work grants used for Tenant-Based Rental Assistance purposes are reflected in the above estimates.</t>
    </r>
  </si>
  <si>
    <r>
      <t>1</t>
    </r>
    <r>
      <rPr>
        <sz val="10"/>
        <rFont val="Arial Narrow"/>
        <family val="2"/>
      </rPr>
      <t xml:space="preserve"> The 2021 Budget proposes a new Moving to Work account that includes activities also funded by this account. For state-by-state purposes, FY2021 Moving to Work grants used for Public Housing purposes are reflected in the above estimates.</t>
    </r>
  </si>
  <si>
    <r>
      <rPr>
        <b/>
        <vertAlign val="superscript"/>
        <sz val="10"/>
        <rFont val="Arial Narrow"/>
        <family val="2"/>
      </rPr>
      <t>4</t>
    </r>
    <r>
      <rPr>
        <b/>
        <sz val="10"/>
        <rFont val="Arial Narrow"/>
        <family val="2"/>
      </rPr>
      <t>23,409,825</t>
    </r>
  </si>
  <si>
    <r>
      <rPr>
        <b/>
        <vertAlign val="superscript"/>
        <sz val="10"/>
        <rFont val="Arial Narrow"/>
        <family val="2"/>
      </rPr>
      <t>1</t>
    </r>
    <r>
      <rPr>
        <b/>
        <sz val="10"/>
        <rFont val="Arial Narrow"/>
        <family val="2"/>
      </rPr>
      <t>4,091,000</t>
    </r>
  </si>
  <si>
    <r>
      <t>2</t>
    </r>
    <r>
      <rPr>
        <sz val="10"/>
        <rFont val="Arial Narrow"/>
        <family val="2"/>
      </rPr>
      <t xml:space="preserve"> FY 2020 reflects the estimated distribution of Federal-aid highways obligation limitation plus exempt contract authority post sequestration, estimated Emergency Relief Program amounts, and estimated Highway Infrastructure Programs amounts.      </t>
    </r>
  </si>
  <si>
    <r>
      <rPr>
        <b/>
        <vertAlign val="superscript"/>
        <sz val="10"/>
        <rFont val="Arial Narrow"/>
        <family val="2"/>
      </rPr>
      <t>2</t>
    </r>
    <r>
      <rPr>
        <b/>
        <sz val="10"/>
        <rFont val="Arial Narrow"/>
        <family val="2"/>
      </rPr>
      <t>53,009,549</t>
    </r>
  </si>
  <si>
    <r>
      <t>1</t>
    </r>
    <r>
      <rPr>
        <sz val="10"/>
        <rFont val="Arial Narrow"/>
        <family val="2"/>
      </rPr>
      <t xml:space="preserve"> 56,720,417</t>
    </r>
  </si>
  <si>
    <r>
      <t>1</t>
    </r>
    <r>
      <rPr>
        <sz val="10"/>
        <rFont val="Arial Narrow"/>
        <family val="2"/>
      </rPr>
      <t xml:space="preserve"> 6,517,016</t>
    </r>
  </si>
  <si>
    <r>
      <t>1</t>
    </r>
    <r>
      <rPr>
        <sz val="10"/>
        <rFont val="Arial Narrow"/>
        <family val="2"/>
      </rPr>
      <t xml:space="preserve"> 37,706</t>
    </r>
  </si>
  <si>
    <r>
      <t>1</t>
    </r>
    <r>
      <rPr>
        <sz val="10"/>
        <rFont val="Arial Narrow"/>
        <family val="2"/>
      </rPr>
      <t xml:space="preserve"> The FY 2019 actual obligations for CA, WA, and AS have not been certified by their respective States or territory. The amounts displayed are estimates.</t>
    </r>
  </si>
  <si>
    <r>
      <t>2</t>
    </r>
    <r>
      <rPr>
        <sz val="10"/>
        <rFont val="Arial Narrow"/>
        <family val="2"/>
      </rPr>
      <t xml:space="preserve"> The FY 2020 and 2021 estimates for the territories have been adjusted to account for the limitation on total Medicaid payments to each territory as defined by 42 U.S.C. 1308 as well as funding limitations provided under 42 U.S.C. 18043.</t>
    </r>
  </si>
  <si>
    <r>
      <t>3</t>
    </r>
    <r>
      <rPr>
        <sz val="10"/>
        <rFont val="Arial Narrow"/>
        <family val="2"/>
      </rPr>
      <t xml:space="preserve"> Obligation estimates for FY 2020 and 2021 reflect the State-reported estimates of Medicaid needs available to CMS in November 2019.</t>
    </r>
  </si>
  <si>
    <r>
      <t>4</t>
    </r>
    <r>
      <rPr>
        <sz val="10"/>
        <rFont val="Arial Narrow"/>
        <family val="2"/>
      </rPr>
      <t xml:space="preserve"> Excludes undistributed obligations.</t>
    </r>
  </si>
  <si>
    <r>
      <t>4</t>
    </r>
    <r>
      <rPr>
        <b/>
        <sz val="10"/>
        <rFont val="Arial Narrow"/>
        <family val="2"/>
      </rPr>
      <t xml:space="preserve"> 100.00</t>
    </r>
  </si>
  <si>
    <r>
      <rPr>
        <b/>
        <vertAlign val="superscript"/>
        <sz val="10"/>
        <rFont val="Arial Narrow"/>
        <family val="2"/>
      </rPr>
      <t>2,3</t>
    </r>
    <r>
      <rPr>
        <b/>
        <sz val="10"/>
        <rFont val="Arial Narrow"/>
        <family val="2"/>
      </rPr>
      <t>489,636,405</t>
    </r>
  </si>
  <si>
    <r>
      <rPr>
        <b/>
        <vertAlign val="superscript"/>
        <sz val="10"/>
        <rFont val="Arial Narrow"/>
        <family val="2"/>
      </rPr>
      <t>2,3</t>
    </r>
    <r>
      <rPr>
        <b/>
        <sz val="10"/>
        <rFont val="Arial Narrow"/>
        <family val="2"/>
      </rPr>
      <t>475,142,987</t>
    </r>
  </si>
  <si>
    <r>
      <t>1</t>
    </r>
    <r>
      <rPr>
        <sz val="10"/>
        <rFont val="Arial Narrow"/>
        <family val="2"/>
      </rPr>
      <t xml:space="preserve"> FY19 Total includes $500 million in supplemental.</t>
    </r>
  </si>
  <si>
    <r>
      <t>2</t>
    </r>
    <r>
      <rPr>
        <sz val="10"/>
        <rFont val="Arial Narrow"/>
        <family val="2"/>
      </rPr>
      <t xml:space="preserve"> FY21 does not include supplemental.</t>
    </r>
  </si>
  <si>
    <r>
      <t>3</t>
    </r>
    <r>
      <rPr>
        <sz val="10"/>
        <rFont val="Arial Narrow"/>
        <family val="2"/>
      </rPr>
      <t xml:space="preserve"> Excludes undistributed obligations.</t>
    </r>
  </si>
  <si>
    <r>
      <t>3</t>
    </r>
    <r>
      <rPr>
        <b/>
        <sz val="10"/>
        <rFont val="Arial Narrow"/>
        <family val="2"/>
      </rPr>
      <t xml:space="preserve"> 100.00</t>
    </r>
  </si>
  <si>
    <r>
      <rPr>
        <b/>
        <vertAlign val="superscript"/>
        <sz val="10"/>
        <rFont val="Arial Narrow"/>
        <family val="2"/>
      </rPr>
      <t>2</t>
    </r>
    <r>
      <rPr>
        <b/>
        <sz val="10"/>
        <rFont val="Arial Narrow"/>
        <family val="2"/>
      </rPr>
      <t>3,174,933</t>
    </r>
  </si>
  <si>
    <r>
      <rPr>
        <b/>
        <vertAlign val="superscript"/>
        <sz val="10"/>
        <rFont val="Arial Narrow"/>
        <family val="2"/>
      </rPr>
      <t>1</t>
    </r>
    <r>
      <rPr>
        <b/>
        <sz val="10"/>
        <rFont val="Arial Narrow"/>
        <family val="2"/>
      </rPr>
      <t>3,589,784</t>
    </r>
  </si>
  <si>
    <r>
      <t>1</t>
    </r>
    <r>
      <rPr>
        <sz val="10"/>
        <rFont val="Arial Narrow"/>
        <family val="2"/>
      </rPr>
      <t xml:space="preserve"> 76,528</t>
    </r>
  </si>
  <si>
    <r>
      <t>2</t>
    </r>
    <r>
      <rPr>
        <sz val="10"/>
        <rFont val="Arial Narrow"/>
        <family val="2"/>
      </rPr>
      <t xml:space="preserve"> 38,400</t>
    </r>
  </si>
  <si>
    <r>
      <t>3</t>
    </r>
    <r>
      <rPr>
        <sz val="10"/>
        <rFont val="Arial Narrow"/>
        <family val="2"/>
      </rPr>
      <t xml:space="preserve"> 41,600</t>
    </r>
  </si>
  <si>
    <r>
      <t>1</t>
    </r>
    <r>
      <rPr>
        <sz val="10"/>
        <rFont val="Arial Narrow"/>
        <family val="2"/>
      </rPr>
      <t xml:space="preserve"> FY 2019 undistributed line is the Oversight take down of $76,528</t>
    </r>
  </si>
  <si>
    <r>
      <t>2</t>
    </r>
    <r>
      <rPr>
        <sz val="10"/>
        <rFont val="Arial Narrow"/>
        <family val="2"/>
      </rPr>
      <t xml:space="preserve"> FY 2020 previous authority undistributed line is the Oversight take down of $38,400</t>
    </r>
  </si>
  <si>
    <r>
      <t>3</t>
    </r>
    <r>
      <rPr>
        <sz val="10"/>
        <rFont val="Arial Narrow"/>
        <family val="2"/>
      </rPr>
      <t xml:space="preserve"> FY 2020 current authority undistributed line is the Oversight take down of $41,600</t>
    </r>
  </si>
  <si>
    <t>*</t>
  </si>
  <si>
    <r>
      <rPr>
        <b/>
        <vertAlign val="superscript"/>
        <sz val="10"/>
        <rFont val="Arial Narrow"/>
        <family val="2"/>
      </rPr>
      <t>1</t>
    </r>
    <r>
      <rPr>
        <b/>
        <sz val="10"/>
        <rFont val="Arial Narrow"/>
        <family val="2"/>
      </rPr>
      <t>3,815,046</t>
    </r>
  </si>
  <si>
    <r>
      <t>1</t>
    </r>
    <r>
      <rPr>
        <sz val="10"/>
        <rFont val="Arial Narrow"/>
        <family val="2"/>
      </rPr>
      <t xml:space="preserve"> FY 2021 States' amounts include the interaction effects from the proposal to eliminate Social Services Block Grant funding.</t>
    </r>
  </si>
  <si>
    <r>
      <t>1</t>
    </r>
    <r>
      <rPr>
        <sz val="10"/>
        <rFont val="Arial Narrow"/>
        <family val="2"/>
      </rPr>
      <t xml:space="preserve"> The FY 2021 States' amounts include the Family Based Care proposal and interaction effects from the proposal to eliminate Social Services Block Grant funding.</t>
    </r>
  </si>
  <si>
    <r>
      <rPr>
        <b/>
        <vertAlign val="superscript"/>
        <sz val="10"/>
        <rFont val="Arial Narrow"/>
        <family val="2"/>
      </rPr>
      <t>1</t>
    </r>
    <r>
      <rPr>
        <b/>
        <sz val="10"/>
        <rFont val="Arial Narrow"/>
        <family val="2"/>
      </rPr>
      <t>5,814,634</t>
    </r>
  </si>
  <si>
    <r>
      <t>1</t>
    </r>
    <r>
      <rPr>
        <sz val="10"/>
        <rFont val="Arial Narrow"/>
        <family val="2"/>
      </rPr>
      <t xml:space="preserve"> FY 2019 includes about $362 million carried over from FY 2018 funds for increased program hours and EHS-CC Partnerships that were both available until March 31, 2019.  FY 2020 includes about $58 million carried over from FY 2019 funds for EHS-CC Partnerships that were available until March 31, 2020.</t>
    </r>
  </si>
  <si>
    <r>
      <rPr>
        <b/>
        <vertAlign val="superscript"/>
        <sz val="10"/>
        <rFont val="Arial Narrow"/>
        <family val="2"/>
      </rPr>
      <t>1</t>
    </r>
    <r>
      <rPr>
        <b/>
        <sz val="10"/>
        <rFont val="Arial Narrow"/>
        <family val="2"/>
      </rPr>
      <t>10,331,440</t>
    </r>
  </si>
  <si>
    <r>
      <rPr>
        <b/>
        <vertAlign val="superscript"/>
        <sz val="10"/>
        <rFont val="Arial Narrow"/>
        <family val="2"/>
      </rPr>
      <t>2</t>
    </r>
    <r>
      <rPr>
        <b/>
        <sz val="10"/>
        <rFont val="Arial Narrow"/>
        <family val="2"/>
      </rPr>
      <t>10,671,239</t>
    </r>
  </si>
  <si>
    <r>
      <rPr>
        <b/>
        <vertAlign val="superscript"/>
        <sz val="10"/>
        <rFont val="Arial Narrow"/>
        <family val="2"/>
      </rPr>
      <t>3</t>
    </r>
    <r>
      <rPr>
        <b/>
        <sz val="10"/>
        <rFont val="Arial Narrow"/>
        <family val="2"/>
      </rPr>
      <t>10,613,095</t>
    </r>
  </si>
  <si>
    <r>
      <t>2</t>
    </r>
    <r>
      <rPr>
        <sz val="10"/>
        <rFont val="Arial Narrow"/>
        <family val="2"/>
      </rPr>
      <t xml:space="preserve"> The FY 2021 President's Budget maintains the FY 2020 appropriation language that move funding for EHS-CC Partnership into the base Head Start appropriation. These funds continue to be combined in one table.</t>
    </r>
  </si>
  <si>
    <r>
      <t>3</t>
    </r>
    <r>
      <rPr>
        <sz val="10"/>
        <rFont val="Arial Narrow"/>
        <family val="2"/>
      </rPr>
      <t xml:space="preserve"> The Discretionary Funds includes approximately $25 million to support Designated Renewal System transitions.  In FY 2020 and 2021, the Discretionary Funds also includes $100 million set aside for new EHS-CC Partnership grants available until March 31, 2021.</t>
    </r>
  </si>
  <si>
    <r>
      <t>1</t>
    </r>
    <r>
      <rPr>
        <sz val="10"/>
        <rFont val="Arial Narrow"/>
        <family val="2"/>
      </rPr>
      <t xml:space="preserve"> The FY 2019 amounts include reallotment of funding unobligated by grantees in FY 2018. </t>
    </r>
  </si>
  <si>
    <r>
      <rPr>
        <b/>
        <vertAlign val="superscript"/>
        <sz val="10"/>
        <rFont val="Arial Narrow"/>
        <family val="2"/>
      </rPr>
      <t>1</t>
    </r>
    <r>
      <rPr>
        <b/>
        <sz val="10"/>
        <rFont val="Arial Narrow"/>
        <family val="2"/>
      </rPr>
      <t>3,655,176</t>
    </r>
  </si>
  <si>
    <t>14-3</t>
  </si>
  <si>
    <t>Summary of Programs by Agency, Bureau, and Program</t>
  </si>
  <si>
    <t>14-4</t>
  </si>
  <si>
    <t>Summary of Programs by State</t>
  </si>
  <si>
    <t xml:space="preserve">The State-by-State Tables are provided as supplemental material to Chapter 14, “Aid to State and Local Governments,” in the Budget’s Analytical Perspectives volume.  This supplement includes two tables that summarize State-by-State spending for select grant programs to State and local governments.  The first summary table (14-3), “Summary of Programs by Agency, Bureau, and Program” shows obligations for each program by agency and bureau.  The second summary table (14-4), “Summary of Grant Programs by State,’’ shows total obligations across all programs for each State.  The programs in this supplement cover more than 88 percent of total grant spending.  </t>
  </si>
  <si>
    <t>1)</t>
  </si>
  <si>
    <t>The Federal agency that administers the program.</t>
  </si>
  <si>
    <t>2)</t>
  </si>
  <si>
    <r>
      <t xml:space="preserve">The program title and number as contained in the </t>
    </r>
    <r>
      <rPr>
        <i/>
        <sz val="12"/>
        <color indexed="8"/>
        <rFont val="Arial"/>
        <family val="2"/>
      </rPr>
      <t>Catalog of Federal Domestic Assistance.</t>
    </r>
  </si>
  <si>
    <t>3)</t>
  </si>
  <si>
    <t>The Treasury budget account number from which the program is funded.</t>
  </si>
  <si>
    <t>4)</t>
  </si>
  <si>
    <t>5)</t>
  </si>
  <si>
    <t>6)</t>
  </si>
  <si>
    <t>7)</t>
  </si>
  <si>
    <t>FY 2021 Budget State-by-State Tables</t>
  </si>
  <si>
    <t>The supplement also includes 35 individual program tables with State-by-State obligation data. The individual program tables display obligations for each program on a State-by-State basis, consistent with the estimates in the FY 2021 Budget.  Each program table reports the following information:</t>
  </si>
  <si>
    <t>Actual 2019 obligations for States, Federal territories, or Indian Tribes in thousands of dollars.  Undistributed obligations are generally project funds that are not distributed by formula, or programs for which State-by-State data are not available.</t>
  </si>
  <si>
    <t>Obligations in 2020 from balances of previous budget authority and obligations in 2020 from new budget authority distributed by State.</t>
  </si>
  <si>
    <t>Estimates of 2021 obligations by State, which are based on the 2021 Budget request, unless otherwise noted.</t>
  </si>
  <si>
    <t>The percentage share of 2021 estimated program funds distributed to each State.</t>
  </si>
  <si>
    <t>Table 14-3. Summary of Programs by Agency, Bureau, and Program</t>
  </si>
  <si>
    <t>(Obligations in millions of dollars)</t>
  </si>
  <si>
    <t>Agency, Bureau, and Program</t>
  </si>
  <si>
    <t>FY 2019 (actual)</t>
  </si>
  <si>
    <t>New authority</t>
  </si>
  <si>
    <t xml:space="preserve">School Breakfast Program (10.553)             </t>
  </si>
  <si>
    <t xml:space="preserve">National School Lunch Program (10.555)             </t>
  </si>
  <si>
    <t xml:space="preserve">Special Supplemental Nutrition Program for Women, Infants, and Children (WIC) (10.557)             </t>
  </si>
  <si>
    <t xml:space="preserve">Child and Adult Care Food Program (10.558)             </t>
  </si>
  <si>
    <t xml:space="preserve">State Administrative Matching Grants for the Supplemental Nutrition Assistance Program (Food Stamps) (10.561)             </t>
  </si>
  <si>
    <t xml:space="preserve">Vocational Rehabilitation Grants (84.126)             </t>
  </si>
  <si>
    <t xml:space="preserve">Special Education-Grants to States (84.027)             </t>
  </si>
  <si>
    <t xml:space="preserve">Title I Grants to Local Educational Agencies (84.010)             </t>
  </si>
  <si>
    <t xml:space="preserve">Supporting Effective Instruction State Grants (formerly Improving Teacher Quality State Grants) (84.367)             </t>
  </si>
  <si>
    <t xml:space="preserve">Temporary Assistance for Needy Families (TANF)-Family Assistance Grants (93.558)             </t>
  </si>
  <si>
    <t xml:space="preserve">Child Support Enforcement-Federal Share of State and Local Administrative Costs and Incentives (93.563)             </t>
  </si>
  <si>
    <t xml:space="preserve">Low Income Home Energy Assistance Program (93.568)             </t>
  </si>
  <si>
    <t xml:space="preserve">Child Care and Development Block Grant (93.575)             </t>
  </si>
  <si>
    <t xml:space="preserve">Child Care and Development Fund-Mandatory (93.596A)             </t>
  </si>
  <si>
    <t xml:space="preserve">Child Care and Development Fund-Matching (93.596B)             </t>
  </si>
  <si>
    <t xml:space="preserve">Head Start (93.600)             </t>
  </si>
  <si>
    <t xml:space="preserve">Foster Care-Title IV-E (93.658)             </t>
  </si>
  <si>
    <t xml:space="preserve">Adoption Assistance (93.659)             </t>
  </si>
  <si>
    <t xml:space="preserve">Social Services Block Grant (93.667)             </t>
  </si>
  <si>
    <t xml:space="preserve">Children's Health Insurance Program (93.767)             </t>
  </si>
  <si>
    <t xml:space="preserve">Grants to States for Medicaid (93.778)             </t>
  </si>
  <si>
    <t xml:space="preserve">Ryan White HIV/AIDS Treatment Modernization Act-Part B HIV Care Grants (93.917)             </t>
  </si>
  <si>
    <t xml:space="preserve">FEMA Preparedness Grants (97.067 et al)             </t>
  </si>
  <si>
    <t xml:space="preserve">Community Development Block Grant (14.218; 14.225; 14.228; 14.862)             </t>
  </si>
  <si>
    <t xml:space="preserve">Community Development Block Grant - Disaster Recovery (14.218; 14.228; 14.269)             </t>
  </si>
  <si>
    <t xml:space="preserve">Section 8 Housing Choice Vouchers (14.871)             </t>
  </si>
  <si>
    <t xml:space="preserve">Public Housing Operating Fund (14.850)             </t>
  </si>
  <si>
    <t xml:space="preserve">Public Housing Capital Fund (14.872)             </t>
  </si>
  <si>
    <t xml:space="preserve">Unemployment Insurance (17.225)             </t>
  </si>
  <si>
    <t xml:space="preserve">Airport Improvement Program (20.106)             </t>
  </si>
  <si>
    <t xml:space="preserve">Highway Planning and Construction (20.205)             </t>
  </si>
  <si>
    <t xml:space="preserve">Transit Formula Grants Programs (20.507)             </t>
  </si>
  <si>
    <t xml:space="preserve">Capitalization Grants for Clean Water State Revolving Fund (66.458)             </t>
  </si>
  <si>
    <t xml:space="preserve">Capitalization Grants for Drinking Water State Revolving Fund (66.468)             </t>
  </si>
  <si>
    <t xml:space="preserve">Universal Service Fund E-Rate ()             </t>
  </si>
  <si>
    <t>Table 14-4. Summary of Programs by State</t>
  </si>
  <si>
    <t>All programs FY 2019 (actual)</t>
  </si>
  <si>
    <t>Programs distributed in all years</t>
  </si>
  <si>
    <t>Continuing resolution</t>
  </si>
  <si>
    <t>Total, programs distributed by State in all years</t>
  </si>
  <si>
    <t>MEMORANDUM:</t>
  </si>
  <si>
    <r>
      <t>Not distributed by State in all years</t>
    </r>
    <r>
      <rPr>
        <vertAlign val="superscript"/>
        <sz val="10"/>
        <rFont val="Arial Narrow"/>
        <family val="2"/>
      </rPr>
      <t xml:space="preserve"> 1</t>
    </r>
  </si>
  <si>
    <t>N/A</t>
  </si>
  <si>
    <t>Total, including undistributed</t>
  </si>
  <si>
    <r>
      <t xml:space="preserve">1 </t>
    </r>
    <r>
      <rPr>
        <sz val="10"/>
        <rFont val="Arial Narrow"/>
        <family val="2"/>
      </rPr>
      <t>The sum of programs not distributed by State in all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</si>
</sst>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0_);\(#,##0.00\);......"/>
  </numFmts>
  <fonts count="30" x14ac:knownFonts="1">
    <font>
      <sz val="10"/>
      <color indexed="8"/>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b/>
      <sz val="10"/>
      <name val="Arial Narrow"/>
      <family val="2"/>
    </font>
    <font>
      <b/>
      <vertAlign val="superscript"/>
      <sz val="10"/>
      <name val="Arial Narrow"/>
      <family val="2"/>
    </font>
    <font>
      <sz val="16"/>
      <color indexed="8"/>
      <name val="Arial Narrow"/>
      <family val="2"/>
    </font>
    <font>
      <sz val="10"/>
      <color indexed="8"/>
      <name val="Arial Narrow"/>
      <family val="2"/>
    </font>
    <font>
      <sz val="14"/>
      <color indexed="8"/>
      <name val="Arial Narrow"/>
      <family val="2"/>
    </font>
    <font>
      <b/>
      <sz val="10"/>
      <color indexed="8"/>
      <name val="Arial Narrow"/>
      <family val="2"/>
    </font>
    <font>
      <vertAlign val="superscript"/>
      <sz val="10"/>
      <name val="Arial Narrow"/>
      <family val="2"/>
    </font>
    <font>
      <sz val="12"/>
      <color indexed="8"/>
      <name val="Arial"/>
      <family val="2"/>
    </font>
    <font>
      <b/>
      <sz val="12"/>
      <color indexed="8"/>
      <name val="Arial"/>
      <family val="2"/>
    </font>
    <font>
      <sz val="12"/>
      <color rgb="FF000000"/>
      <name val="Arial"/>
      <family val="2"/>
    </font>
    <font>
      <i/>
      <sz val="12"/>
      <color indexed="8"/>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22" fillId="0" borderId="0" xfId="0" applyFont="1" applyAlignment="1">
      <alignment horizontal="center"/>
    </xf>
    <xf numFmtId="0" fontId="22" fillId="0" borderId="0" xfId="0" applyFont="1"/>
    <xf numFmtId="49" fontId="22" fillId="0" borderId="0" xfId="0" applyNumberFormat="1" applyFont="1" applyAlignment="1">
      <alignment horizontal="center" wrapText="1"/>
    </xf>
    <xf numFmtId="0" fontId="21" fillId="0" borderId="0" xfId="0" applyFont="1" applyAlignment="1">
      <alignment horizontal="centerContinuous"/>
    </xf>
    <xf numFmtId="0" fontId="22" fillId="0" borderId="0" xfId="0" applyFont="1" applyAlignment="1">
      <alignment horizontal="centerContinuous"/>
    </xf>
    <xf numFmtId="49" fontId="22" fillId="0" borderId="0" xfId="0" applyNumberFormat="1" applyFont="1" applyAlignment="1">
      <alignment horizontal="centerContinuous" wrapText="1"/>
    </xf>
    <xf numFmtId="0" fontId="23" fillId="0" borderId="0" xfId="0" applyFont="1" applyAlignment="1">
      <alignment horizontal="centerContinuous"/>
    </xf>
    <xf numFmtId="0" fontId="24" fillId="0" borderId="0" xfId="0" applyFont="1" applyAlignment="1">
      <alignment horizontal="center"/>
    </xf>
    <xf numFmtId="49" fontId="24" fillId="0" borderId="0" xfId="0" applyNumberFormat="1" applyFont="1" applyAlignment="1">
      <alignment horizontal="center" wrapText="1"/>
    </xf>
    <xf numFmtId="0" fontId="18" fillId="0" borderId="0" xfId="0" applyFont="1" applyAlignment="1">
      <alignment vertical="top" wrapText="1"/>
    </xf>
    <xf numFmtId="0" fontId="18" fillId="0" borderId="0" xfId="0" applyFont="1" applyAlignment="1">
      <alignment horizontal="left" vertical="top" wrapText="1"/>
    </xf>
    <xf numFmtId="0" fontId="19" fillId="0" borderId="0" xfId="0" applyFont="1" applyAlignment="1">
      <alignment vertical="top" wrapText="1"/>
    </xf>
    <xf numFmtId="0" fontId="19" fillId="0" borderId="0" xfId="0" applyFont="1" applyBorder="1" applyAlignment="1">
      <alignment horizontal="centerContinuous" vertical="top" wrapText="1"/>
    </xf>
    <xf numFmtId="0" fontId="18" fillId="0" borderId="0" xfId="0" applyFont="1" applyBorder="1" applyAlignment="1">
      <alignment horizontal="centerContinuous" vertical="top" wrapText="1"/>
    </xf>
    <xf numFmtId="164" fontId="18" fillId="0" borderId="13" xfId="0" applyNumberFormat="1" applyFont="1" applyBorder="1" applyAlignment="1">
      <alignment horizontal="center" vertical="center" wrapText="1"/>
    </xf>
    <xf numFmtId="0" fontId="18" fillId="0" borderId="10" xfId="0" applyFont="1" applyBorder="1" applyAlignment="1">
      <alignment horizontal="centerContinuous" vertical="center" wrapText="1"/>
    </xf>
    <xf numFmtId="164" fontId="18" fillId="0" borderId="20" xfId="0" applyNumberFormat="1" applyFont="1" applyBorder="1" applyAlignment="1">
      <alignment horizontal="right" vertical="top" wrapText="1"/>
    </xf>
    <xf numFmtId="165" fontId="18" fillId="0" borderId="15" xfId="0" applyNumberFormat="1" applyFont="1" applyBorder="1" applyAlignment="1">
      <alignment horizontal="right" vertical="top" wrapText="1"/>
    </xf>
    <xf numFmtId="0" fontId="19" fillId="0" borderId="21" xfId="0" applyFont="1" applyBorder="1" applyAlignment="1">
      <alignment horizontal="left" vertical="top" wrapText="1"/>
    </xf>
    <xf numFmtId="164" fontId="19" fillId="0" borderId="18" xfId="0" applyNumberFormat="1" applyFont="1" applyBorder="1" applyAlignment="1">
      <alignment horizontal="right" vertical="top" wrapText="1"/>
    </xf>
    <xf numFmtId="165" fontId="20" fillId="0" borderId="18" xfId="0" applyNumberFormat="1" applyFont="1" applyBorder="1" applyAlignment="1">
      <alignment horizontal="right" vertical="top" wrapText="1"/>
    </xf>
    <xf numFmtId="164" fontId="25" fillId="0" borderId="20" xfId="0" applyNumberFormat="1" applyFont="1" applyBorder="1" applyAlignment="1">
      <alignment horizontal="right" vertical="top" wrapText="1"/>
    </xf>
    <xf numFmtId="165" fontId="19" fillId="0" borderId="18" xfId="0" applyNumberFormat="1" applyFont="1" applyBorder="1" applyAlignment="1">
      <alignment horizontal="right" vertical="top" wrapText="1"/>
    </xf>
    <xf numFmtId="49" fontId="19" fillId="0" borderId="18" xfId="0" applyNumberFormat="1" applyFont="1" applyBorder="1" applyAlignment="1">
      <alignment horizontal="right" vertical="top" wrapText="1"/>
    </xf>
    <xf numFmtId="0" fontId="18" fillId="0" borderId="24" xfId="0" applyFont="1" applyBorder="1" applyAlignment="1">
      <alignment horizontal="centerContinuous" vertical="center" wrapText="1"/>
    </xf>
    <xf numFmtId="164" fontId="18" fillId="0" borderId="28" xfId="0" applyNumberFormat="1" applyFont="1" applyBorder="1" applyAlignment="1">
      <alignment horizontal="center" vertical="center" wrapText="1"/>
    </xf>
    <xf numFmtId="164" fontId="18" fillId="0" borderId="30" xfId="0" applyNumberFormat="1" applyFont="1" applyBorder="1" applyAlignment="1">
      <alignment horizontal="right" vertical="top" wrapText="1"/>
    </xf>
    <xf numFmtId="165" fontId="18" fillId="0" borderId="31" xfId="0" applyNumberFormat="1" applyFont="1" applyBorder="1" applyAlignment="1">
      <alignment horizontal="right" vertical="top" wrapText="1"/>
    </xf>
    <xf numFmtId="164" fontId="25" fillId="0" borderId="30" xfId="0" applyNumberFormat="1" applyFont="1" applyBorder="1" applyAlignment="1">
      <alignment horizontal="right" vertical="top" wrapText="1"/>
    </xf>
    <xf numFmtId="0" fontId="19" fillId="0" borderId="32" xfId="0" applyFont="1" applyBorder="1" applyAlignment="1">
      <alignment horizontal="left" vertical="top" wrapText="1"/>
    </xf>
    <xf numFmtId="164" fontId="19" fillId="0" borderId="33" xfId="0" applyNumberFormat="1" applyFont="1" applyBorder="1" applyAlignment="1">
      <alignment horizontal="right" vertical="top" wrapText="1"/>
    </xf>
    <xf numFmtId="165" fontId="20" fillId="0" borderId="33" xfId="0" applyNumberFormat="1" applyFont="1" applyBorder="1" applyAlignment="1">
      <alignment horizontal="right" vertical="top" wrapText="1"/>
    </xf>
    <xf numFmtId="49" fontId="19" fillId="0" borderId="33" xfId="0" applyNumberFormat="1" applyFont="1" applyBorder="1" applyAlignment="1">
      <alignment horizontal="right" vertical="top" wrapText="1"/>
    </xf>
    <xf numFmtId="165" fontId="19" fillId="0" borderId="33" xfId="0" applyNumberFormat="1" applyFont="1" applyBorder="1" applyAlignment="1">
      <alignment horizontal="right" vertical="top" wrapText="1"/>
    </xf>
    <xf numFmtId="0" fontId="0" fillId="33" borderId="0" xfId="0" applyFill="1"/>
    <xf numFmtId="0" fontId="26" fillId="33" borderId="0" xfId="0" applyFont="1" applyFill="1"/>
    <xf numFmtId="0" fontId="28" fillId="33" borderId="0" xfId="0" quotePrefix="1" applyFont="1" applyFill="1" applyAlignment="1">
      <alignment horizontal="justify" vertical="center"/>
    </xf>
    <xf numFmtId="0" fontId="26" fillId="33" borderId="0" xfId="0" quotePrefix="1" applyFont="1" applyFill="1" applyAlignment="1">
      <alignment wrapText="1"/>
    </xf>
    <xf numFmtId="0" fontId="0" fillId="33" borderId="0" xfId="0" applyNumberFormat="1" applyFill="1"/>
    <xf numFmtId="0" fontId="26" fillId="33" borderId="0" xfId="0" quotePrefix="1" applyFont="1" applyFill="1"/>
    <xf numFmtId="0" fontId="0" fillId="33" borderId="0" xfId="0" applyNumberFormat="1" applyFill="1" applyAlignment="1">
      <alignment vertical="top"/>
    </xf>
    <xf numFmtId="165" fontId="18" fillId="0" borderId="13" xfId="0" applyNumberFormat="1" applyFont="1" applyBorder="1" applyAlignment="1">
      <alignment horizontal="center" vertical="center" wrapText="1"/>
    </xf>
    <xf numFmtId="164" fontId="18" fillId="0" borderId="15" xfId="0" applyNumberFormat="1" applyFont="1" applyBorder="1" applyAlignment="1">
      <alignment horizontal="right" vertical="top" wrapText="1"/>
    </xf>
    <xf numFmtId="0" fontId="18" fillId="0" borderId="0" xfId="0" applyFont="1" applyAlignment="1">
      <alignment horizontal="left" vertical="top" wrapText="1" indent="1"/>
    </xf>
    <xf numFmtId="0" fontId="18" fillId="0" borderId="18" xfId="0" applyFont="1" applyBorder="1" applyAlignment="1">
      <alignment horizontal="centerContinuous" vertical="center" wrapText="1"/>
    </xf>
    <xf numFmtId="165" fontId="18" fillId="0" borderId="18" xfId="0" applyNumberFormat="1" applyFont="1" applyBorder="1" applyAlignment="1">
      <alignment horizontal="center" vertical="center" wrapText="1"/>
    </xf>
    <xf numFmtId="164" fontId="19" fillId="0" borderId="0" xfId="0" applyNumberFormat="1" applyFont="1" applyBorder="1" applyAlignment="1">
      <alignment horizontal="left" vertical="top" wrapText="1" indent="1"/>
    </xf>
    <xf numFmtId="3" fontId="19" fillId="0" borderId="14" xfId="0" applyNumberFormat="1" applyFont="1" applyBorder="1" applyAlignment="1">
      <alignment horizontal="right" vertical="top" wrapText="1"/>
    </xf>
    <xf numFmtId="165" fontId="19" fillId="0" borderId="14" xfId="0" applyNumberFormat="1" applyFont="1" applyBorder="1" applyAlignment="1">
      <alignment horizontal="right" vertical="top" wrapText="1"/>
    </xf>
    <xf numFmtId="164" fontId="19" fillId="0" borderId="0" xfId="0" applyNumberFormat="1" applyFont="1" applyBorder="1" applyAlignment="1">
      <alignment horizontal="left" vertical="top" wrapText="1"/>
    </xf>
    <xf numFmtId="164" fontId="18" fillId="0" borderId="0" xfId="0" applyNumberFormat="1" applyFont="1" applyBorder="1" applyAlignment="1">
      <alignment horizontal="left" vertical="top" wrapText="1" indent="1"/>
    </xf>
    <xf numFmtId="164" fontId="18" fillId="0" borderId="21" xfId="0" applyNumberFormat="1" applyFont="1" applyBorder="1" applyAlignment="1">
      <alignment horizontal="left" vertical="top" wrapText="1" indent="1"/>
    </xf>
    <xf numFmtId="164" fontId="18" fillId="0" borderId="18" xfId="0" applyNumberFormat="1" applyFont="1" applyBorder="1" applyAlignment="1">
      <alignment horizontal="right" vertical="top" wrapText="1"/>
    </xf>
    <xf numFmtId="0" fontId="27" fillId="33" borderId="0" xfId="0" applyFont="1" applyFill="1" applyAlignment="1">
      <alignment horizontal="center"/>
    </xf>
    <xf numFmtId="0" fontId="28" fillId="33" borderId="0" xfId="0" quotePrefix="1" applyFont="1" applyFill="1" applyAlignment="1">
      <alignment horizontal="left" vertical="center" wrapText="1"/>
    </xf>
    <xf numFmtId="0" fontId="26" fillId="33" borderId="0" xfId="0" quotePrefix="1" applyFont="1" applyFill="1" applyAlignment="1">
      <alignment horizontal="left" wrapText="1"/>
    </xf>
    <xf numFmtId="165" fontId="18" fillId="0" borderId="16" xfId="0" applyNumberFormat="1" applyFont="1" applyBorder="1" applyAlignment="1">
      <alignment horizontal="center" vertical="center" wrapText="1"/>
    </xf>
    <xf numFmtId="165" fontId="18" fillId="0" borderId="17" xfId="0" applyNumberFormat="1" applyFont="1" applyBorder="1" applyAlignment="1">
      <alignment horizontal="center" vertical="center" wrapText="1"/>
    </xf>
    <xf numFmtId="164" fontId="25" fillId="0" borderId="0" xfId="0" applyNumberFormat="1" applyFont="1" applyAlignment="1">
      <alignment horizontal="left" vertical="top" wrapText="1"/>
    </xf>
    <xf numFmtId="165" fontId="18" fillId="0" borderId="14" xfId="0" applyNumberFormat="1" applyFont="1" applyBorder="1" applyAlignment="1">
      <alignment horizontal="center" vertical="center" wrapText="1"/>
    </xf>
    <xf numFmtId="165" fontId="18" fillId="0" borderId="15" xfId="0" applyNumberFormat="1" applyFont="1" applyBorder="1" applyAlignment="1">
      <alignment horizontal="center" vertical="center" wrapText="1"/>
    </xf>
    <xf numFmtId="165" fontId="18" fillId="0" borderId="19" xfId="0" applyNumberFormat="1" applyFont="1" applyBorder="1" applyAlignment="1">
      <alignment horizontal="center" vertical="center" wrapText="1"/>
    </xf>
    <xf numFmtId="165" fontId="18" fillId="0" borderId="20"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18" fillId="0" borderId="19" xfId="0" applyFont="1" applyBorder="1" applyAlignment="1">
      <alignment horizontal="center" vertical="center" wrapText="1"/>
    </xf>
    <xf numFmtId="164" fontId="18" fillId="0" borderId="10" xfId="0" applyNumberFormat="1" applyFont="1" applyBorder="1" applyAlignment="1">
      <alignment horizontal="left" vertical="top" wrapText="1"/>
    </xf>
    <xf numFmtId="49" fontId="25" fillId="0" borderId="0" xfId="0" applyNumberFormat="1" applyFont="1" applyAlignment="1">
      <alignment vertical="top" wrapText="1"/>
    </xf>
    <xf numFmtId="164" fontId="18" fillId="0" borderId="11"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164" fontId="18" fillId="0" borderId="16" xfId="0" applyNumberFormat="1" applyFont="1" applyBorder="1" applyAlignment="1">
      <alignment horizontal="center" vertical="center" wrapText="1"/>
    </xf>
    <xf numFmtId="164" fontId="18" fillId="0" borderId="17"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164" fontId="18" fillId="0" borderId="19" xfId="0" applyNumberFormat="1" applyFont="1" applyBorder="1" applyAlignment="1">
      <alignment horizontal="center" vertical="center" wrapText="1"/>
    </xf>
    <xf numFmtId="49" fontId="18" fillId="0" borderId="10" xfId="0" applyNumberFormat="1" applyFont="1" applyBorder="1" applyAlignment="1">
      <alignment vertical="top" wrapText="1"/>
    </xf>
    <xf numFmtId="49" fontId="18" fillId="0" borderId="0" xfId="0" applyNumberFormat="1" applyFont="1" applyAlignment="1">
      <alignment vertical="top" wrapText="1"/>
    </xf>
    <xf numFmtId="164" fontId="18" fillId="0" borderId="22" xfId="0" applyNumberFormat="1" applyFont="1" applyBorder="1" applyAlignment="1">
      <alignment horizontal="center" vertical="center" wrapText="1"/>
    </xf>
    <xf numFmtId="164" fontId="18" fillId="0" borderId="26" xfId="0" applyNumberFormat="1" applyFont="1" applyBorder="1" applyAlignment="1">
      <alignment horizontal="center" vertical="center" wrapText="1"/>
    </xf>
    <xf numFmtId="164" fontId="18" fillId="0" borderId="23" xfId="0" applyNumberFormat="1" applyFont="1" applyBorder="1" applyAlignment="1">
      <alignment horizontal="center" vertical="center" wrapText="1"/>
    </xf>
    <xf numFmtId="164" fontId="18" fillId="0" borderId="27" xfId="0" applyNumberFormat="1" applyFont="1" applyBorder="1" applyAlignment="1">
      <alignment horizontal="center" vertical="center" wrapText="1"/>
    </xf>
    <xf numFmtId="164" fontId="18" fillId="0" borderId="25"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49" fontId="18" fillId="0" borderId="24"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20C8-9903-4380-BFA1-EB2E4A1DD3EF}">
  <sheetPr>
    <pageSetUpPr fitToPage="1"/>
  </sheetPr>
  <dimension ref="A1:B15"/>
  <sheetViews>
    <sheetView tabSelected="1" workbookViewId="0"/>
  </sheetViews>
  <sheetFormatPr defaultRowHeight="12.75" x14ac:dyDescent="0.2"/>
  <cols>
    <col min="1" max="1" width="4.140625" customWidth="1"/>
    <col min="2" max="2" width="151.42578125" customWidth="1"/>
  </cols>
  <sheetData>
    <row r="1" spans="1:2" ht="15" x14ac:dyDescent="0.2">
      <c r="A1" s="35"/>
      <c r="B1" s="36"/>
    </row>
    <row r="2" spans="1:2" ht="17.25" customHeight="1" x14ac:dyDescent="0.25">
      <c r="A2" s="54" t="s">
        <v>495</v>
      </c>
      <c r="B2" s="54"/>
    </row>
    <row r="3" spans="1:2" ht="15" x14ac:dyDescent="0.2">
      <c r="A3" s="35"/>
      <c r="B3" s="36"/>
    </row>
    <row r="4" spans="1:2" ht="87" customHeight="1" x14ac:dyDescent="0.2">
      <c r="A4" s="55" t="s">
        <v>484</v>
      </c>
      <c r="B4" s="55"/>
    </row>
    <row r="5" spans="1:2" ht="12" customHeight="1" x14ac:dyDescent="0.2">
      <c r="A5" s="35"/>
      <c r="B5" s="37"/>
    </row>
    <row r="6" spans="1:2" ht="39.75" customHeight="1" x14ac:dyDescent="0.2">
      <c r="A6" s="56" t="s">
        <v>496</v>
      </c>
      <c r="B6" s="56"/>
    </row>
    <row r="7" spans="1:2" ht="15" x14ac:dyDescent="0.2">
      <c r="A7" s="35"/>
      <c r="B7" s="38"/>
    </row>
    <row r="8" spans="1:2" ht="15" x14ac:dyDescent="0.2">
      <c r="A8" s="39" t="s">
        <v>485</v>
      </c>
      <c r="B8" s="37" t="s">
        <v>486</v>
      </c>
    </row>
    <row r="9" spans="1:2" ht="15" x14ac:dyDescent="0.2">
      <c r="A9" s="39" t="s">
        <v>487</v>
      </c>
      <c r="B9" s="37" t="s">
        <v>488</v>
      </c>
    </row>
    <row r="10" spans="1:2" ht="15" x14ac:dyDescent="0.2">
      <c r="A10" s="39" t="s">
        <v>489</v>
      </c>
      <c r="B10" s="40" t="s">
        <v>490</v>
      </c>
    </row>
    <row r="11" spans="1:2" ht="30" x14ac:dyDescent="0.2">
      <c r="A11" s="41" t="s">
        <v>491</v>
      </c>
      <c r="B11" s="37" t="s">
        <v>497</v>
      </c>
    </row>
    <row r="12" spans="1:2" ht="15" x14ac:dyDescent="0.2">
      <c r="A12" s="39" t="s">
        <v>492</v>
      </c>
      <c r="B12" s="37" t="s">
        <v>498</v>
      </c>
    </row>
    <row r="13" spans="1:2" ht="15" x14ac:dyDescent="0.2">
      <c r="A13" s="39" t="s">
        <v>493</v>
      </c>
      <c r="B13" s="37" t="s">
        <v>499</v>
      </c>
    </row>
    <row r="14" spans="1:2" ht="15" x14ac:dyDescent="0.2">
      <c r="A14" s="39" t="s">
        <v>494</v>
      </c>
      <c r="B14" s="37" t="s">
        <v>500</v>
      </c>
    </row>
    <row r="15" spans="1:2" x14ac:dyDescent="0.2">
      <c r="A15" s="35"/>
    </row>
  </sheetData>
  <mergeCells count="3">
    <mergeCell ref="A2:B2"/>
    <mergeCell ref="A4:B4"/>
    <mergeCell ref="A6:B6"/>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179</v>
      </c>
      <c r="B1" s="10"/>
      <c r="C1" s="10"/>
      <c r="D1" s="10"/>
      <c r="E1" s="10"/>
      <c r="F1" s="10"/>
      <c r="G1" s="12" t="s">
        <v>180</v>
      </c>
    </row>
    <row r="2" spans="1:7" x14ac:dyDescent="0.2">
      <c r="A2" s="13" t="s">
        <v>181</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65444</v>
      </c>
      <c r="C6" s="17">
        <v>0</v>
      </c>
      <c r="D6" s="17">
        <v>67851</v>
      </c>
      <c r="E6" s="17">
        <v>67851</v>
      </c>
      <c r="F6" s="17">
        <v>73009</v>
      </c>
      <c r="G6" s="18">
        <f>IF(AND(F65&lt;&gt;0,73009&lt;&gt;0),IF(100*73009/(F65-0)&lt;0.005,"*",100*73009/(F65-0)),0)</f>
        <v>2.0154029577499393</v>
      </c>
    </row>
    <row r="7" spans="1:7" x14ac:dyDescent="0.2">
      <c r="A7" s="11" t="s">
        <v>112</v>
      </c>
      <c r="B7" s="17">
        <v>12069</v>
      </c>
      <c r="C7" s="17">
        <v>0</v>
      </c>
      <c r="D7" s="17">
        <v>11173</v>
      </c>
      <c r="E7" s="17">
        <v>11173</v>
      </c>
      <c r="F7" s="17">
        <v>12075</v>
      </c>
      <c r="G7" s="18">
        <f>IF(AND(F65&lt;&gt;0,12075&lt;&gt;0),IF(100*12075/(F65-0)&lt;0.005,"*",100*12075/(F65-0)),0)</f>
        <v>0.33332864050775268</v>
      </c>
    </row>
    <row r="8" spans="1:7" x14ac:dyDescent="0.2">
      <c r="A8" s="11" t="s">
        <v>113</v>
      </c>
      <c r="B8" s="17">
        <v>93556</v>
      </c>
      <c r="C8" s="17">
        <v>0</v>
      </c>
      <c r="D8" s="17">
        <v>78878</v>
      </c>
      <c r="E8" s="17">
        <v>78878</v>
      </c>
      <c r="F8" s="17">
        <v>87077</v>
      </c>
      <c r="G8" s="18">
        <f>IF(AND(F65&lt;&gt;0,87077&lt;&gt;0),IF(100*87077/(F65-0)&lt;0.005,"*",100*87077/(F65-0)),0)</f>
        <v>2.4037480769766941</v>
      </c>
    </row>
    <row r="9" spans="1:7" x14ac:dyDescent="0.2">
      <c r="A9" s="11" t="s">
        <v>114</v>
      </c>
      <c r="B9" s="17">
        <v>45426</v>
      </c>
      <c r="C9" s="17">
        <v>0</v>
      </c>
      <c r="D9" s="17">
        <v>40463</v>
      </c>
      <c r="E9" s="17">
        <v>40463</v>
      </c>
      <c r="F9" s="17">
        <v>43512</v>
      </c>
      <c r="G9" s="18">
        <f>IF(AND(F65&lt;&gt;0,43512&lt;&gt;0),IF(100*43512/(F65-0)&lt;0.005,"*",100*43512/(F65-0)),0)</f>
        <v>1.2011425097948931</v>
      </c>
    </row>
    <row r="10" spans="1:7" x14ac:dyDescent="0.2">
      <c r="A10" s="11" t="s">
        <v>115</v>
      </c>
      <c r="B10" s="17">
        <v>315662</v>
      </c>
      <c r="C10" s="17">
        <v>0</v>
      </c>
      <c r="D10" s="17">
        <v>292346</v>
      </c>
      <c r="E10" s="17">
        <v>292346</v>
      </c>
      <c r="F10" s="17">
        <v>315630</v>
      </c>
      <c r="G10" s="18">
        <f>IF(AND(F65&lt;&gt;0,315630&lt;&gt;0),IF(100*315630/(F65-0)&lt;0.005,"*",100*315630/(F65-0)),0)</f>
        <v>8.7129208118809096</v>
      </c>
    </row>
    <row r="11" spans="1:7" x14ac:dyDescent="0.2">
      <c r="A11" s="11" t="s">
        <v>116</v>
      </c>
      <c r="B11" s="17">
        <v>47794</v>
      </c>
      <c r="C11" s="17">
        <v>0</v>
      </c>
      <c r="D11" s="17">
        <v>47719</v>
      </c>
      <c r="E11" s="17">
        <v>47719</v>
      </c>
      <c r="F11" s="17">
        <v>52150</v>
      </c>
      <c r="G11" s="18">
        <f>IF(AND(F65&lt;&gt;0,52150&lt;&gt;0),IF(100*52150/(F65-0)&lt;0.005,"*",100*52150/(F65-0)),0)</f>
        <v>1.4395932590044971</v>
      </c>
    </row>
    <row r="12" spans="1:7" x14ac:dyDescent="0.2">
      <c r="A12" s="11" t="s">
        <v>117</v>
      </c>
      <c r="B12" s="17">
        <v>29114</v>
      </c>
      <c r="C12" s="17">
        <v>0</v>
      </c>
      <c r="D12" s="17">
        <v>22093</v>
      </c>
      <c r="E12" s="17">
        <v>22093</v>
      </c>
      <c r="F12" s="17">
        <v>23572</v>
      </c>
      <c r="G12" s="18">
        <f>IF(AND(F65&lt;&gt;0,23572&lt;&gt;0),IF(100*23572/(F65-0)&lt;0.005,"*",100*23572/(F65-0)),0)</f>
        <v>0.65070167404130408</v>
      </c>
    </row>
    <row r="13" spans="1:7" x14ac:dyDescent="0.2">
      <c r="A13" s="11" t="s">
        <v>118</v>
      </c>
      <c r="B13" s="17">
        <v>13920</v>
      </c>
      <c r="C13" s="17">
        <v>0</v>
      </c>
      <c r="D13" s="17">
        <v>11173</v>
      </c>
      <c r="E13" s="17">
        <v>11173</v>
      </c>
      <c r="F13" s="17">
        <v>12075</v>
      </c>
      <c r="G13" s="18">
        <f>IF(AND(F65&lt;&gt;0,12075&lt;&gt;0),IF(100*12075/(F65-0)&lt;0.005,"*",100*12075/(F65-0)),0)</f>
        <v>0.33332864050775268</v>
      </c>
    </row>
    <row r="14" spans="1:7" x14ac:dyDescent="0.2">
      <c r="A14" s="11" t="s">
        <v>119</v>
      </c>
      <c r="B14" s="17">
        <v>14926</v>
      </c>
      <c r="C14" s="17">
        <v>0</v>
      </c>
      <c r="D14" s="17">
        <v>15362</v>
      </c>
      <c r="E14" s="17">
        <v>15362</v>
      </c>
      <c r="F14" s="17">
        <v>16410</v>
      </c>
      <c r="G14" s="18">
        <f>IF(AND(F65&lt;&gt;0,16410&lt;&gt;0),IF(100*16410/(F65-0)&lt;0.005,"*",100*16410/(F65-0)),0)</f>
        <v>0.45299569281426266</v>
      </c>
    </row>
    <row r="15" spans="1:7" x14ac:dyDescent="0.2">
      <c r="A15" s="11" t="s">
        <v>120</v>
      </c>
      <c r="B15" s="17">
        <v>195467</v>
      </c>
      <c r="C15" s="17">
        <v>0</v>
      </c>
      <c r="D15" s="17">
        <v>210234</v>
      </c>
      <c r="E15" s="17">
        <v>210234</v>
      </c>
      <c r="F15" s="17">
        <v>230039</v>
      </c>
      <c r="G15" s="18">
        <f>IF(AND(F65&lt;&gt;0,230039&lt;&gt;0),IF(100*230039/(F65-0)&lt;0.005,"*",100*230039/(F65-0)),0)</f>
        <v>6.3501935514503449</v>
      </c>
    </row>
    <row r="16" spans="1:7" x14ac:dyDescent="0.2">
      <c r="A16" s="11" t="s">
        <v>121</v>
      </c>
      <c r="B16" s="17">
        <v>100000</v>
      </c>
      <c r="C16" s="17">
        <v>0</v>
      </c>
      <c r="D16" s="17">
        <v>118961</v>
      </c>
      <c r="E16" s="17">
        <v>118961</v>
      </c>
      <c r="F16" s="17">
        <v>129763</v>
      </c>
      <c r="G16" s="18">
        <f>IF(AND(F65&lt;&gt;0,129763&lt;&gt;0),IF(100*129763/(F65-0)&lt;0.005,"*",100*129763/(F65-0)),0)</f>
        <v>3.5820889754209118</v>
      </c>
    </row>
    <row r="17" spans="1:7" x14ac:dyDescent="0.2">
      <c r="A17" s="11" t="s">
        <v>122</v>
      </c>
      <c r="B17" s="17">
        <v>13380</v>
      </c>
      <c r="C17" s="17">
        <v>0</v>
      </c>
      <c r="D17" s="17">
        <v>12773</v>
      </c>
      <c r="E17" s="17">
        <v>12773</v>
      </c>
      <c r="F17" s="17">
        <v>13784</v>
      </c>
      <c r="G17" s="18">
        <f>IF(AND(F65&lt;&gt;0,13784&lt;&gt;0),IF(100*13784/(F65-0)&lt;0.005,"*",100*13784/(F65-0)),0)</f>
        <v>0.38050534002143793</v>
      </c>
    </row>
    <row r="18" spans="1:7" x14ac:dyDescent="0.2">
      <c r="A18" s="11" t="s">
        <v>123</v>
      </c>
      <c r="B18" s="17">
        <v>20058</v>
      </c>
      <c r="C18" s="17">
        <v>0</v>
      </c>
      <c r="D18" s="17">
        <v>20579</v>
      </c>
      <c r="E18" s="17">
        <v>20579</v>
      </c>
      <c r="F18" s="17">
        <v>22661</v>
      </c>
      <c r="G18" s="18">
        <f>IF(AND(F65&lt;&gt;0,22661&lt;&gt;0),IF(100*22661/(F65-0)&lt;0.005,"*",100*22661/(F65-0)),0)</f>
        <v>0.62555364990030504</v>
      </c>
    </row>
    <row r="19" spans="1:7" x14ac:dyDescent="0.2">
      <c r="A19" s="11" t="s">
        <v>124</v>
      </c>
      <c r="B19" s="17">
        <v>115032</v>
      </c>
      <c r="C19" s="17">
        <v>0</v>
      </c>
      <c r="D19" s="17">
        <v>117478</v>
      </c>
      <c r="E19" s="17">
        <v>117478</v>
      </c>
      <c r="F19" s="17">
        <v>125957</v>
      </c>
      <c r="G19" s="18">
        <f>IF(AND(F65&lt;&gt;0,125957&lt;&gt;0),IF(100*125957/(F65-0)&lt;0.005,"*",100*125957/(F65-0)),0)</f>
        <v>3.4770248921271225</v>
      </c>
    </row>
    <row r="20" spans="1:7" x14ac:dyDescent="0.2">
      <c r="A20" s="11" t="s">
        <v>125</v>
      </c>
      <c r="B20" s="17">
        <v>64053</v>
      </c>
      <c r="C20" s="17">
        <v>0</v>
      </c>
      <c r="D20" s="17">
        <v>79793</v>
      </c>
      <c r="E20" s="17">
        <v>79793</v>
      </c>
      <c r="F20" s="17">
        <v>86281</v>
      </c>
      <c r="G20" s="18">
        <f>IF(AND(F65&lt;&gt;0,86281&lt;&gt;0),IF(100*86281/(F65-0)&lt;0.005,"*",100*86281/(F65-0)),0)</f>
        <v>2.3817746113167213</v>
      </c>
    </row>
    <row r="21" spans="1:7" x14ac:dyDescent="0.2">
      <c r="A21" s="11" t="s">
        <v>126</v>
      </c>
      <c r="B21" s="17">
        <v>33506</v>
      </c>
      <c r="C21" s="17">
        <v>0</v>
      </c>
      <c r="D21" s="17">
        <v>35525</v>
      </c>
      <c r="E21" s="17">
        <v>35525</v>
      </c>
      <c r="F21" s="17">
        <v>38170</v>
      </c>
      <c r="G21" s="18">
        <f>IF(AND(F65&lt;&gt;0,38170&lt;&gt;0),IF(100*38170/(F65-0)&lt;0.005,"*",100*38170/(F65-0)),0)</f>
        <v>1.0536773671371362</v>
      </c>
    </row>
    <row r="22" spans="1:7" x14ac:dyDescent="0.2">
      <c r="A22" s="11" t="s">
        <v>127</v>
      </c>
      <c r="B22" s="17">
        <v>28476</v>
      </c>
      <c r="C22" s="17">
        <v>0</v>
      </c>
      <c r="D22" s="17">
        <v>30812</v>
      </c>
      <c r="E22" s="17">
        <v>30812</v>
      </c>
      <c r="F22" s="17">
        <v>33195</v>
      </c>
      <c r="G22" s="18">
        <f>IF(AND(F65&lt;&gt;0,33195&lt;&gt;0),IF(100*33195/(F65-0)&lt;0.005,"*",100*33195/(F65-0)),0)</f>
        <v>0.91634320676230641</v>
      </c>
    </row>
    <row r="23" spans="1:7" x14ac:dyDescent="0.2">
      <c r="A23" s="11" t="s">
        <v>128</v>
      </c>
      <c r="B23" s="17">
        <v>58866</v>
      </c>
      <c r="C23" s="17">
        <v>0</v>
      </c>
      <c r="D23" s="17">
        <v>60868</v>
      </c>
      <c r="E23" s="17">
        <v>60868</v>
      </c>
      <c r="F23" s="17">
        <v>65365</v>
      </c>
      <c r="G23" s="18">
        <f>IF(AND(F65&lt;&gt;0,65365&lt;&gt;0),IF(100*65365/(F65-0)&lt;0.005,"*",100*65365/(F65-0)),0)</f>
        <v>1.8043914357589446</v>
      </c>
    </row>
    <row r="24" spans="1:7" x14ac:dyDescent="0.2">
      <c r="A24" s="11" t="s">
        <v>129</v>
      </c>
      <c r="B24" s="17">
        <v>34327</v>
      </c>
      <c r="C24" s="17">
        <v>0</v>
      </c>
      <c r="D24" s="17">
        <v>61053</v>
      </c>
      <c r="E24" s="17">
        <v>61053</v>
      </c>
      <c r="F24" s="17">
        <v>65248</v>
      </c>
      <c r="G24" s="18">
        <f>IF(AND(F65&lt;&gt;0,65248&lt;&gt;0),IF(100*65248/(F65-0)&lt;0.005,"*",100*65248/(F65-0)),0)</f>
        <v>1.8011616675652047</v>
      </c>
    </row>
    <row r="25" spans="1:7" x14ac:dyDescent="0.2">
      <c r="A25" s="11" t="s">
        <v>130</v>
      </c>
      <c r="B25" s="17">
        <v>16797</v>
      </c>
      <c r="C25" s="17">
        <v>0</v>
      </c>
      <c r="D25" s="17">
        <v>16733</v>
      </c>
      <c r="E25" s="17">
        <v>16733</v>
      </c>
      <c r="F25" s="17">
        <v>17969</v>
      </c>
      <c r="G25" s="18">
        <f>IF(AND(F65&lt;&gt;0,17969&lt;&gt;0),IF(100*17969/(F65-0)&lt;0.005,"*",100*17969/(F65-0)),0)</f>
        <v>0.49603166387443542</v>
      </c>
    </row>
    <row r="26" spans="1:7" x14ac:dyDescent="0.2">
      <c r="A26" s="11" t="s">
        <v>131</v>
      </c>
      <c r="B26" s="17">
        <v>47197</v>
      </c>
      <c r="C26" s="17">
        <v>0</v>
      </c>
      <c r="D26" s="17">
        <v>46156</v>
      </c>
      <c r="E26" s="17">
        <v>46156</v>
      </c>
      <c r="F26" s="17">
        <v>49654</v>
      </c>
      <c r="G26" s="18">
        <f>IF(AND(F65&lt;&gt;0,49654&lt;&gt;0),IF(100*49654/(F65-0)&lt;0.005,"*",100*49654/(F65-0)),0)</f>
        <v>1.37069153753805</v>
      </c>
    </row>
    <row r="27" spans="1:7" x14ac:dyDescent="0.2">
      <c r="A27" s="11" t="s">
        <v>132</v>
      </c>
      <c r="B27" s="17">
        <v>55269</v>
      </c>
      <c r="C27" s="17">
        <v>0</v>
      </c>
      <c r="D27" s="17">
        <v>48820</v>
      </c>
      <c r="E27" s="17">
        <v>48820</v>
      </c>
      <c r="F27" s="17">
        <v>51846</v>
      </c>
      <c r="G27" s="18">
        <f>IF(AND(F65&lt;&gt;0,51846&lt;&gt;0),IF(100*51846/(F65-0)&lt;0.005,"*",100*51846/(F65-0)),0)</f>
        <v>1.4312013826720451</v>
      </c>
    </row>
    <row r="28" spans="1:7" x14ac:dyDescent="0.2">
      <c r="A28" s="11" t="s">
        <v>133</v>
      </c>
      <c r="B28" s="17">
        <v>120373</v>
      </c>
      <c r="C28" s="17">
        <v>0</v>
      </c>
      <c r="D28" s="17">
        <v>115124</v>
      </c>
      <c r="E28" s="17">
        <v>115124</v>
      </c>
      <c r="F28" s="17">
        <v>123878</v>
      </c>
      <c r="G28" s="18">
        <f>IF(AND(F65&lt;&gt;0,123878&lt;&gt;0),IF(100*123878/(F65-0)&lt;0.005,"*",100*123878/(F65-0)),0)</f>
        <v>3.4196343957614399</v>
      </c>
    </row>
    <row r="29" spans="1:7" x14ac:dyDescent="0.2">
      <c r="A29" s="11" t="s">
        <v>134</v>
      </c>
      <c r="B29" s="17">
        <v>54795</v>
      </c>
      <c r="C29" s="17">
        <v>0</v>
      </c>
      <c r="D29" s="17">
        <v>51822</v>
      </c>
      <c r="E29" s="17">
        <v>51822</v>
      </c>
      <c r="F29" s="17">
        <v>55899</v>
      </c>
      <c r="G29" s="18">
        <f>IF(AND(F65&lt;&gt;0,55899&lt;&gt;0),IF(100*55899/(F65-0)&lt;0.005,"*",100*55899/(F65-0)),0)</f>
        <v>1.5430838654859518</v>
      </c>
    </row>
    <row r="30" spans="1:7" x14ac:dyDescent="0.2">
      <c r="A30" s="11" t="s">
        <v>135</v>
      </c>
      <c r="B30" s="17">
        <v>44681</v>
      </c>
      <c r="C30" s="17">
        <v>0</v>
      </c>
      <c r="D30" s="17">
        <v>46749</v>
      </c>
      <c r="E30" s="17">
        <v>46749</v>
      </c>
      <c r="F30" s="17">
        <v>49964</v>
      </c>
      <c r="G30" s="18">
        <f>IF(AND(F65&lt;&gt;0,49964&lt;&gt;0),IF(100*49964/(F65-0)&lt;0.005,"*",100*49964/(F65-0)),0)</f>
        <v>1.3792490430086422</v>
      </c>
    </row>
    <row r="31" spans="1:7" x14ac:dyDescent="0.2">
      <c r="A31" s="11" t="s">
        <v>136</v>
      </c>
      <c r="B31" s="17">
        <v>70929</v>
      </c>
      <c r="C31" s="17">
        <v>0</v>
      </c>
      <c r="D31" s="17">
        <v>73001</v>
      </c>
      <c r="E31" s="17">
        <v>73001</v>
      </c>
      <c r="F31" s="17">
        <v>78602</v>
      </c>
      <c r="G31" s="18">
        <f>IF(AND(F65&lt;&gt;0,78602&lt;&gt;0),IF(100*78602/(F65-0)&lt;0.005,"*",100*78602/(F65-0)),0)</f>
        <v>2.1697969193532405</v>
      </c>
    </row>
    <row r="32" spans="1:7" x14ac:dyDescent="0.2">
      <c r="A32" s="11" t="s">
        <v>137</v>
      </c>
      <c r="B32" s="17">
        <v>10260</v>
      </c>
      <c r="C32" s="17">
        <v>0</v>
      </c>
      <c r="D32" s="17">
        <v>9282</v>
      </c>
      <c r="E32" s="17">
        <v>9282</v>
      </c>
      <c r="F32" s="17">
        <v>13468</v>
      </c>
      <c r="G32" s="18">
        <f>IF(AND(F65&lt;&gt;0,13468&lt;&gt;0),IF(100*13468/(F65-0)&lt;0.005,"*",100*13468/(F65-0)),0)</f>
        <v>0.37178220541270501</v>
      </c>
    </row>
    <row r="33" spans="1:7" x14ac:dyDescent="0.2">
      <c r="A33" s="11" t="s">
        <v>138</v>
      </c>
      <c r="B33" s="17">
        <v>25546</v>
      </c>
      <c r="C33" s="17">
        <v>0</v>
      </c>
      <c r="D33" s="17">
        <v>19620</v>
      </c>
      <c r="E33" s="17">
        <v>19620</v>
      </c>
      <c r="F33" s="17">
        <v>21125</v>
      </c>
      <c r="G33" s="18">
        <f>IF(AND(F65&lt;&gt;0,21125&lt;&gt;0),IF(100*21125/(F65-0)&lt;0.005,"*",100*21125/(F65-0)),0)</f>
        <v>0.5831525905363375</v>
      </c>
    </row>
    <row r="34" spans="1:7" x14ac:dyDescent="0.2">
      <c r="A34" s="11" t="s">
        <v>139</v>
      </c>
      <c r="B34" s="17">
        <v>22677</v>
      </c>
      <c r="C34" s="17">
        <v>0</v>
      </c>
      <c r="D34" s="17">
        <v>28512</v>
      </c>
      <c r="E34" s="17">
        <v>28512</v>
      </c>
      <c r="F34" s="17">
        <v>31606</v>
      </c>
      <c r="G34" s="18">
        <f>IF(AND(F65&lt;&gt;0,31606&lt;&gt;0),IF(100*31606/(F65-0)&lt;0.005,"*",100*31606/(F65-0)),0)</f>
        <v>0.8724790900114312</v>
      </c>
    </row>
    <row r="35" spans="1:7" x14ac:dyDescent="0.2">
      <c r="A35" s="11" t="s">
        <v>140</v>
      </c>
      <c r="B35" s="17">
        <v>11426</v>
      </c>
      <c r="C35" s="17">
        <v>0</v>
      </c>
      <c r="D35" s="17">
        <v>11713</v>
      </c>
      <c r="E35" s="17">
        <v>11713</v>
      </c>
      <c r="F35" s="17">
        <v>12580</v>
      </c>
      <c r="G35" s="18">
        <f>IF(AND(F65&lt;&gt;0,12580&lt;&gt;0),IF(100*12580/(F65-0)&lt;0.005,"*",100*12580/(F65-0)),0)</f>
        <v>0.34726909296791131</v>
      </c>
    </row>
    <row r="36" spans="1:7" x14ac:dyDescent="0.2">
      <c r="A36" s="11" t="s">
        <v>141</v>
      </c>
      <c r="B36" s="17">
        <v>64594</v>
      </c>
      <c r="C36" s="17">
        <v>0</v>
      </c>
      <c r="D36" s="17">
        <v>62582</v>
      </c>
      <c r="E36" s="17">
        <v>62582</v>
      </c>
      <c r="F36" s="17">
        <v>66872</v>
      </c>
      <c r="G36" s="18">
        <f>IF(AND(F65&lt;&gt;0,66872&lt;&gt;0),IF(100*66872/(F65-0)&lt;0.005,"*",100*66872/(F65-0)),0)</f>
        <v>1.8459919542885663</v>
      </c>
    </row>
    <row r="37" spans="1:7" x14ac:dyDescent="0.2">
      <c r="A37" s="11" t="s">
        <v>142</v>
      </c>
      <c r="B37" s="17">
        <v>26189</v>
      </c>
      <c r="C37" s="17">
        <v>0</v>
      </c>
      <c r="D37" s="17">
        <v>27300</v>
      </c>
      <c r="E37" s="17">
        <v>27300</v>
      </c>
      <c r="F37" s="17">
        <v>29485</v>
      </c>
      <c r="G37" s="18">
        <f>IF(AND(F65&lt;&gt;0,29485&lt;&gt;0),IF(100*29485/(F65-0)&lt;0.005,"*",100*29485/(F65-0)),0)</f>
        <v>0.81392918967876504</v>
      </c>
    </row>
    <row r="38" spans="1:7" x14ac:dyDescent="0.2">
      <c r="A38" s="11" t="s">
        <v>143</v>
      </c>
      <c r="B38" s="17">
        <v>160156</v>
      </c>
      <c r="C38" s="17">
        <v>0</v>
      </c>
      <c r="D38" s="17">
        <v>147998</v>
      </c>
      <c r="E38" s="17">
        <v>147998</v>
      </c>
      <c r="F38" s="17">
        <v>157558</v>
      </c>
      <c r="G38" s="18">
        <f>IF(AND(F65&lt;&gt;0,157558&lt;&gt;0),IF(100*157558/(F65-0)&lt;0.005,"*",100*157558/(F65-0)),0)</f>
        <v>4.3493659578567696</v>
      </c>
    </row>
    <row r="39" spans="1:7" x14ac:dyDescent="0.2">
      <c r="A39" s="11" t="s">
        <v>144</v>
      </c>
      <c r="B39" s="17">
        <v>110913</v>
      </c>
      <c r="C39" s="17">
        <v>0</v>
      </c>
      <c r="D39" s="17">
        <v>121201</v>
      </c>
      <c r="E39" s="17">
        <v>121201</v>
      </c>
      <c r="F39" s="17">
        <v>131964</v>
      </c>
      <c r="G39" s="18">
        <f>IF(AND(F65&lt;&gt;0,131964&lt;&gt;0),IF(100*131964/(F65-0)&lt;0.005,"*",100*131964/(F65-0)),0)</f>
        <v>3.6428472642621181</v>
      </c>
    </row>
    <row r="40" spans="1:7" x14ac:dyDescent="0.2">
      <c r="A40" s="11" t="s">
        <v>145</v>
      </c>
      <c r="B40" s="17">
        <v>10869</v>
      </c>
      <c r="C40" s="17">
        <v>0</v>
      </c>
      <c r="D40" s="17">
        <v>11173</v>
      </c>
      <c r="E40" s="17">
        <v>11173</v>
      </c>
      <c r="F40" s="17">
        <v>12075</v>
      </c>
      <c r="G40" s="18">
        <f>IF(AND(F65&lt;&gt;0,12075&lt;&gt;0),IF(100*12075/(F65-0)&lt;0.005,"*",100*12075/(F65-0)),0)</f>
        <v>0.33332864050775268</v>
      </c>
    </row>
    <row r="41" spans="1:7" x14ac:dyDescent="0.2">
      <c r="A41" s="11" t="s">
        <v>146</v>
      </c>
      <c r="B41" s="17">
        <v>99549</v>
      </c>
      <c r="C41" s="17">
        <v>0</v>
      </c>
      <c r="D41" s="17">
        <v>138485</v>
      </c>
      <c r="E41" s="17">
        <v>138485</v>
      </c>
      <c r="F41" s="17">
        <v>148692</v>
      </c>
      <c r="G41" s="18">
        <f>IF(AND(F65&lt;&gt;0,148692&lt;&gt;0),IF(100*148692/(F65-0)&lt;0.005,"*",100*148692/(F65-0)),0)</f>
        <v>4.1046213013978274</v>
      </c>
    </row>
    <row r="42" spans="1:7" x14ac:dyDescent="0.2">
      <c r="A42" s="11" t="s">
        <v>147</v>
      </c>
      <c r="B42" s="17">
        <v>42141</v>
      </c>
      <c r="C42" s="17">
        <v>0</v>
      </c>
      <c r="D42" s="17">
        <v>47904</v>
      </c>
      <c r="E42" s="17">
        <v>47904</v>
      </c>
      <c r="F42" s="17">
        <v>51690</v>
      </c>
      <c r="G42" s="18">
        <f>IF(AND(F65&lt;&gt;0,51690&lt;&gt;0),IF(100*51690/(F65-0)&lt;0.005,"*",100*51690/(F65-0)),0)</f>
        <v>1.4268950250803922</v>
      </c>
    </row>
    <row r="43" spans="1:7" x14ac:dyDescent="0.2">
      <c r="A43" s="11" t="s">
        <v>148</v>
      </c>
      <c r="B43" s="17">
        <v>60602</v>
      </c>
      <c r="C43" s="17">
        <v>0</v>
      </c>
      <c r="D43" s="17">
        <v>43325</v>
      </c>
      <c r="E43" s="17">
        <v>43325</v>
      </c>
      <c r="F43" s="17">
        <v>47103</v>
      </c>
      <c r="G43" s="18">
        <f>IF(AND(F65&lt;&gt;0,47103&lt;&gt;0),IF(100*47103/(F65-0)&lt;0.005,"*",100*47103/(F65-0)),0)</f>
        <v>1.3002715489719814</v>
      </c>
    </row>
    <row r="44" spans="1:7" x14ac:dyDescent="0.2">
      <c r="A44" s="11" t="s">
        <v>149</v>
      </c>
      <c r="B44" s="17">
        <v>156359</v>
      </c>
      <c r="C44" s="17">
        <v>0</v>
      </c>
      <c r="D44" s="17">
        <v>132750</v>
      </c>
      <c r="E44" s="17">
        <v>132750</v>
      </c>
      <c r="F44" s="17">
        <v>142017</v>
      </c>
      <c r="G44" s="18">
        <f>IF(AND(F65&lt;&gt;0,142017&lt;&gt;0),IF(100*142017/(F65-0)&lt;0.005,"*",100*142017/(F65-0)),0)</f>
        <v>3.920358885216523</v>
      </c>
    </row>
    <row r="45" spans="1:7" x14ac:dyDescent="0.2">
      <c r="A45" s="11" t="s">
        <v>150</v>
      </c>
      <c r="B45" s="17">
        <v>13107</v>
      </c>
      <c r="C45" s="17">
        <v>0</v>
      </c>
      <c r="D45" s="17">
        <v>11173</v>
      </c>
      <c r="E45" s="17">
        <v>11173</v>
      </c>
      <c r="F45" s="17">
        <v>12075</v>
      </c>
      <c r="G45" s="18">
        <f>IF(AND(F65&lt;&gt;0,12075&lt;&gt;0),IF(100*12075/(F65-0)&lt;0.005,"*",100*12075/(F65-0)),0)</f>
        <v>0.33332864050775268</v>
      </c>
    </row>
    <row r="46" spans="1:7" x14ac:dyDescent="0.2">
      <c r="A46" s="11" t="s">
        <v>151</v>
      </c>
      <c r="B46" s="17">
        <v>66608</v>
      </c>
      <c r="C46" s="17">
        <v>0</v>
      </c>
      <c r="D46" s="17">
        <v>64103</v>
      </c>
      <c r="E46" s="17">
        <v>64103</v>
      </c>
      <c r="F46" s="17">
        <v>69835</v>
      </c>
      <c r="G46" s="18">
        <f>IF(AND(F65&lt;&gt;0,69835&lt;&gt;0),IF(100*69835/(F65-0)&lt;0.005,"*",100*69835/(F65-0)),0)</f>
        <v>1.9277851436736155</v>
      </c>
    </row>
    <row r="47" spans="1:7" x14ac:dyDescent="0.2">
      <c r="A47" s="11" t="s">
        <v>152</v>
      </c>
      <c r="B47" s="17">
        <v>10869</v>
      </c>
      <c r="C47" s="17">
        <v>0</v>
      </c>
      <c r="D47" s="17">
        <v>11173</v>
      </c>
      <c r="E47" s="17">
        <v>11173</v>
      </c>
      <c r="F47" s="17">
        <v>12075</v>
      </c>
      <c r="G47" s="18">
        <f>IF(AND(F65&lt;&gt;0,12075&lt;&gt;0),IF(100*12075/(F65-0)&lt;0.005,"*",100*12075/(F65-0)),0)</f>
        <v>0.33332864050775268</v>
      </c>
    </row>
    <row r="48" spans="1:7" x14ac:dyDescent="0.2">
      <c r="A48" s="11" t="s">
        <v>153</v>
      </c>
      <c r="B48" s="17">
        <v>54964</v>
      </c>
      <c r="C48" s="17">
        <v>0</v>
      </c>
      <c r="D48" s="17">
        <v>80877</v>
      </c>
      <c r="E48" s="17">
        <v>80877</v>
      </c>
      <c r="F48" s="17">
        <v>87644</v>
      </c>
      <c r="G48" s="18">
        <f>IF(AND(F65&lt;&gt;0,87644&lt;&gt;0),IF(100*87644/(F65-0)&lt;0.005,"*",100*87644/(F65-0)),0)</f>
        <v>2.4194000305309711</v>
      </c>
    </row>
    <row r="49" spans="1:7" x14ac:dyDescent="0.2">
      <c r="A49" s="11" t="s">
        <v>154</v>
      </c>
      <c r="B49" s="17">
        <v>248761</v>
      </c>
      <c r="C49" s="17">
        <v>0</v>
      </c>
      <c r="D49" s="17">
        <v>287842</v>
      </c>
      <c r="E49" s="17">
        <v>287842</v>
      </c>
      <c r="F49" s="17">
        <v>314708</v>
      </c>
      <c r="G49" s="18">
        <f>IF(AND(F65&lt;&gt;0,314708&lt;&gt;0),IF(100*314708/(F65-0)&lt;0.005,"*",100*314708/(F65-0)),0)</f>
        <v>8.6874691343199864</v>
      </c>
    </row>
    <row r="50" spans="1:7" x14ac:dyDescent="0.2">
      <c r="A50" s="11" t="s">
        <v>155</v>
      </c>
      <c r="B50" s="17">
        <v>35086</v>
      </c>
      <c r="C50" s="17">
        <v>0</v>
      </c>
      <c r="D50" s="17">
        <v>35396</v>
      </c>
      <c r="E50" s="17">
        <v>35396</v>
      </c>
      <c r="F50" s="17">
        <v>38851</v>
      </c>
      <c r="G50" s="18">
        <f>IF(AND(F65&lt;&gt;0,38851&lt;&gt;0),IF(100*38851/(F65-0)&lt;0.005,"*",100*38851/(F65-0)),0)</f>
        <v>1.0724762743160827</v>
      </c>
    </row>
    <row r="51" spans="1:7" x14ac:dyDescent="0.2">
      <c r="A51" s="11" t="s">
        <v>156</v>
      </c>
      <c r="B51" s="17">
        <v>13312</v>
      </c>
      <c r="C51" s="17">
        <v>0</v>
      </c>
      <c r="D51" s="17">
        <v>11173</v>
      </c>
      <c r="E51" s="17">
        <v>11173</v>
      </c>
      <c r="F51" s="17">
        <v>12075</v>
      </c>
      <c r="G51" s="18">
        <f>IF(AND(F65&lt;&gt;0,12075&lt;&gt;0),IF(100*12075/(F65-0)&lt;0.005,"*",100*12075/(F65-0)),0)</f>
        <v>0.33332864050775268</v>
      </c>
    </row>
    <row r="52" spans="1:7" x14ac:dyDescent="0.2">
      <c r="A52" s="11" t="s">
        <v>157</v>
      </c>
      <c r="B52" s="17">
        <v>78060</v>
      </c>
      <c r="C52" s="17">
        <v>0</v>
      </c>
      <c r="D52" s="17">
        <v>75156</v>
      </c>
      <c r="E52" s="17">
        <v>75156</v>
      </c>
      <c r="F52" s="17">
        <v>81068</v>
      </c>
      <c r="G52" s="18">
        <f>IF(AND(F65&lt;&gt;0,81068&lt;&gt;0),IF(100*81068/(F65-0)&lt;0.005,"*",100*81068/(F65-0)),0)</f>
        <v>2.2378704951289849</v>
      </c>
    </row>
    <row r="53" spans="1:7" x14ac:dyDescent="0.2">
      <c r="A53" s="11" t="s">
        <v>158</v>
      </c>
      <c r="B53" s="17">
        <v>68564</v>
      </c>
      <c r="C53" s="17">
        <v>0</v>
      </c>
      <c r="D53" s="17">
        <v>58681</v>
      </c>
      <c r="E53" s="17">
        <v>58681</v>
      </c>
      <c r="F53" s="17">
        <v>64002</v>
      </c>
      <c r="G53" s="18">
        <f>IF(AND(F65&lt;&gt;0,64002&lt;&gt;0),IF(100*64002/(F65-0)&lt;0.005,"*",100*64002/(F65-0)),0)</f>
        <v>1.7667660165446946</v>
      </c>
    </row>
    <row r="54" spans="1:7" x14ac:dyDescent="0.2">
      <c r="A54" s="11" t="s">
        <v>159</v>
      </c>
      <c r="B54" s="17">
        <v>32388</v>
      </c>
      <c r="C54" s="17">
        <v>0</v>
      </c>
      <c r="D54" s="17">
        <v>27822</v>
      </c>
      <c r="E54" s="17">
        <v>27822</v>
      </c>
      <c r="F54" s="17">
        <v>29594</v>
      </c>
      <c r="G54" s="18">
        <f>IF(AND(F65&lt;&gt;0,29594&lt;&gt;0),IF(100*29594/(F65-0)&lt;0.005,"*",100*29594/(F65-0)),0)</f>
        <v>0.81693811902165081</v>
      </c>
    </row>
    <row r="55" spans="1:7" x14ac:dyDescent="0.2">
      <c r="A55" s="11" t="s">
        <v>160</v>
      </c>
      <c r="B55" s="17">
        <v>64836</v>
      </c>
      <c r="C55" s="17">
        <v>0</v>
      </c>
      <c r="D55" s="17">
        <v>64028</v>
      </c>
      <c r="E55" s="17">
        <v>64028</v>
      </c>
      <c r="F55" s="17">
        <v>68843</v>
      </c>
      <c r="G55" s="18">
        <f>IF(AND(F65&lt;&gt;0,68843&lt;&gt;0),IF(100*68843/(F65-0)&lt;0.005,"*",100*68843/(F65-0)),0)</f>
        <v>1.9004011261677198</v>
      </c>
    </row>
    <row r="56" spans="1:7" x14ac:dyDescent="0.2">
      <c r="A56" s="11" t="s">
        <v>161</v>
      </c>
      <c r="B56" s="17">
        <v>10869</v>
      </c>
      <c r="C56" s="17">
        <v>0</v>
      </c>
      <c r="D56" s="17">
        <v>11173</v>
      </c>
      <c r="E56" s="17">
        <v>11173</v>
      </c>
      <c r="F56" s="17">
        <v>12075</v>
      </c>
      <c r="G56" s="18">
        <f>IF(AND(F65&lt;&gt;0,12075&lt;&gt;0),IF(100*12075/(F65-0)&lt;0.005,"*",100*12075/(F65-0)),0)</f>
        <v>0.33332864050775268</v>
      </c>
    </row>
    <row r="57" spans="1:7" x14ac:dyDescent="0.2">
      <c r="A57" s="11" t="s">
        <v>162</v>
      </c>
      <c r="B57" s="17">
        <v>919</v>
      </c>
      <c r="C57" s="17">
        <v>0</v>
      </c>
      <c r="D57" s="17">
        <v>932</v>
      </c>
      <c r="E57" s="17">
        <v>932</v>
      </c>
      <c r="F57" s="17">
        <v>994</v>
      </c>
      <c r="G57" s="18">
        <f>IF(AND(F65&lt;&gt;0,994&lt;&gt;0),IF(100*994/(F65-0)&lt;0.005,"*",100*994/(F65-0)),0)</f>
        <v>2.7439227218609207E-2</v>
      </c>
    </row>
    <row r="58" spans="1:7" x14ac:dyDescent="0.2">
      <c r="A58" s="11" t="s">
        <v>163</v>
      </c>
      <c r="B58" s="17">
        <v>2076</v>
      </c>
      <c r="C58" s="17">
        <v>0</v>
      </c>
      <c r="D58" s="17">
        <v>3134</v>
      </c>
      <c r="E58" s="17">
        <v>3134</v>
      </c>
      <c r="F58" s="17">
        <v>3378</v>
      </c>
      <c r="G58" s="18">
        <f>IF(AND(F65&lt;&gt;0,3378&lt;&gt;0),IF(100*3378/(F65-0)&lt;0.005,"*",100*3378/(F65-0)),0)</f>
        <v>9.3249204773100502E-2</v>
      </c>
    </row>
    <row r="59" spans="1:7" x14ac:dyDescent="0.2">
      <c r="A59" s="11" t="s">
        <v>164</v>
      </c>
      <c r="B59" s="17">
        <v>854</v>
      </c>
      <c r="C59" s="17">
        <v>0</v>
      </c>
      <c r="D59" s="17">
        <v>873</v>
      </c>
      <c r="E59" s="17">
        <v>873</v>
      </c>
      <c r="F59" s="17">
        <v>943</v>
      </c>
      <c r="G59" s="18">
        <f>IF(AND(F65&lt;&gt;0,943&lt;&gt;0),IF(100*943/(F65-0)&lt;0.005,"*",100*943/(F65-0)),0)</f>
        <v>2.6031379544414972E-2</v>
      </c>
    </row>
    <row r="60" spans="1:7" x14ac:dyDescent="0.2">
      <c r="A60" s="11" t="s">
        <v>165</v>
      </c>
      <c r="B60" s="17">
        <v>44857</v>
      </c>
      <c r="C60" s="17">
        <v>0</v>
      </c>
      <c r="D60" s="17">
        <v>67571</v>
      </c>
      <c r="E60" s="17">
        <v>67571</v>
      </c>
      <c r="F60" s="17">
        <v>72081</v>
      </c>
      <c r="G60" s="18">
        <f>IF(AND(F65&lt;&gt;0,72081&lt;&gt;0),IF(100*72081/(F65-0)&lt;0.005,"*",100*72081/(F65-0)),0)</f>
        <v>1.9897856510508756</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2099</v>
      </c>
      <c r="C62" s="17">
        <v>0</v>
      </c>
      <c r="D62" s="17">
        <v>2143</v>
      </c>
      <c r="E62" s="17">
        <v>2143</v>
      </c>
      <c r="F62" s="17">
        <v>2290</v>
      </c>
      <c r="G62" s="18">
        <f>IF(AND(F65&lt;&gt;0,2290&lt;&gt;0),IF(100*2290/(F65-0)&lt;0.005,"*",100*2290/(F65-0)),0)</f>
        <v>6.3215121056956827E-2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0</v>
      </c>
      <c r="C64" s="17">
        <v>0</v>
      </c>
      <c r="D64" s="17">
        <v>3164</v>
      </c>
      <c r="E64" s="17">
        <v>3164</v>
      </c>
      <c r="F64" s="17">
        <v>0</v>
      </c>
      <c r="G64" s="18">
        <v>0</v>
      </c>
    </row>
    <row r="65" spans="1:7" ht="15" customHeight="1" x14ac:dyDescent="0.2">
      <c r="A65" s="19" t="s">
        <v>110</v>
      </c>
      <c r="B65" s="20">
        <f>65444+12069+93556+45426+315662+47794+29114+13920+14926+195467+100000+13380+20058+115032+64053+33506+28476+58866+34327+16797+47197+55269+120373+54795+44681+70929+10260+25546+22677+11426+64594+26189+160156+110913+10869+99549+42141+60602+156359+13107+66608+10869+54964+248761+35086+13312+78060+68564+32388+64836+10869+919+2076+854+44857+0+2099+0+0+0</f>
        <v>3260627</v>
      </c>
      <c r="C65" s="20">
        <f>0+0+0+0+0+0+0+0+0+0+0+0+0+0+0+0+0+0+0+0+0+0+0+0+0+0+0+0+0+0+0+0+0+0+0+0+0+0+0+0+0+0+0+0+0+0+0+0+0+0+0+0+0+0+0+0+0+0+0+0</f>
        <v>0</v>
      </c>
      <c r="D65" s="20">
        <f>67851+11173+78878+40463+292346+47719+22093+11173+15362+210234+118961+12773+20579+117478+79793+35525+30812+60868+61053+16733+46156+48820+115124+51822+46749+73001+9282+19620+28512+11713+62582+27300+147998+121201+11173+138485+47904+43325+132750+11173+64103+11173+80877+287842+35396+11173+75156+58681+27822+64028+11173+932+3134+873+67571+0+2143+0+3164+0</f>
        <v>3351798</v>
      </c>
      <c r="E65" s="20">
        <f>SUM(C65:D65)</f>
        <v>3351798</v>
      </c>
      <c r="F65" s="20">
        <f>73009+12075+87077+43512+315630+52150+23572+12075+16410+230039+129763+13784+22661+125957+86281+38170+33195+65365+65248+17969+49654+51846+123878+55899+49964+78602+13468+21125+31606+12580+66872+29485+157558+131964+12075+148692+51690+47103+142017+12075+69835+12075+87644+314708+38851+12075+81068+64002+29594+68843+12075+994+3378+943+72081+0+2290+0+0+0</f>
        <v>3622551</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2" t="s">
        <v>179</v>
      </c>
      <c r="B1" s="10"/>
      <c r="C1" s="10"/>
      <c r="D1" s="10"/>
      <c r="E1" s="10"/>
      <c r="F1" s="10"/>
      <c r="G1" s="12" t="s">
        <v>182</v>
      </c>
    </row>
    <row r="2" spans="1:7" x14ac:dyDescent="0.2">
      <c r="A2" s="13" t="s">
        <v>183</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191704</v>
      </c>
      <c r="C6" s="17">
        <v>0</v>
      </c>
      <c r="D6" s="17">
        <v>197338</v>
      </c>
      <c r="E6" s="17">
        <v>197338</v>
      </c>
      <c r="F6" s="17">
        <v>198677</v>
      </c>
      <c r="G6" s="18">
        <f>IF(AND(F67&lt;&gt;0,198677&lt;&gt;0),IF(100*198677/(F67-0)&lt;0.005,"*",100*198677/(F67-0)),0)</f>
        <v>1.5402043755240558</v>
      </c>
    </row>
    <row r="7" spans="1:7" x14ac:dyDescent="0.2">
      <c r="A7" s="11" t="s">
        <v>112</v>
      </c>
      <c r="B7" s="17">
        <v>39093</v>
      </c>
      <c r="C7" s="17">
        <v>0</v>
      </c>
      <c r="D7" s="17">
        <v>40434</v>
      </c>
      <c r="E7" s="17">
        <v>40434</v>
      </c>
      <c r="F7" s="17">
        <v>40760</v>
      </c>
      <c r="G7" s="18">
        <f>IF(AND(F67&lt;&gt;0,40760&lt;&gt;0),IF(100*40760/(F67-0)&lt;0.005,"*",100*40760/(F67-0)),0)</f>
        <v>0.31598388513195041</v>
      </c>
    </row>
    <row r="8" spans="1:7" x14ac:dyDescent="0.2">
      <c r="A8" s="11" t="s">
        <v>113</v>
      </c>
      <c r="B8" s="17">
        <v>215703</v>
      </c>
      <c r="C8" s="17">
        <v>0</v>
      </c>
      <c r="D8" s="17">
        <v>225998</v>
      </c>
      <c r="E8" s="17">
        <v>225998</v>
      </c>
      <c r="F8" s="17">
        <v>229327</v>
      </c>
      <c r="G8" s="18">
        <f>IF(AND(F67&lt;&gt;0,229327&lt;&gt;0),IF(100*229327/(F67-0)&lt;0.005,"*",100*229327/(F67-0)),0)</f>
        <v>1.7778124736421685</v>
      </c>
    </row>
    <row r="9" spans="1:7" x14ac:dyDescent="0.2">
      <c r="A9" s="11" t="s">
        <v>114</v>
      </c>
      <c r="B9" s="17">
        <v>118077</v>
      </c>
      <c r="C9" s="17">
        <v>0</v>
      </c>
      <c r="D9" s="17">
        <v>121548</v>
      </c>
      <c r="E9" s="17">
        <v>121548</v>
      </c>
      <c r="F9" s="17">
        <v>122372</v>
      </c>
      <c r="G9" s="18">
        <f>IF(AND(F67&lt;&gt;0,122372&lt;&gt;0),IF(100*122372/(F67-0)&lt;0.005,"*",100*122372/(F67-0)),0)</f>
        <v>0.9486648673053738</v>
      </c>
    </row>
    <row r="10" spans="1:7" x14ac:dyDescent="0.2">
      <c r="A10" s="11" t="s">
        <v>115</v>
      </c>
      <c r="B10" s="17">
        <v>1289887</v>
      </c>
      <c r="C10" s="17">
        <v>0</v>
      </c>
      <c r="D10" s="17">
        <v>1327802</v>
      </c>
      <c r="E10" s="17">
        <v>1327802</v>
      </c>
      <c r="F10" s="17">
        <v>1336803</v>
      </c>
      <c r="G10" s="18">
        <f>IF(AND(F67&lt;&gt;0,1336803&lt;&gt;0),IF(100*1336803/(F67-0)&lt;0.005,"*",100*1336803/(F67-0)),0)</f>
        <v>10.363302394407427</v>
      </c>
    </row>
    <row r="11" spans="1:7" x14ac:dyDescent="0.2">
      <c r="A11" s="11" t="s">
        <v>116</v>
      </c>
      <c r="B11" s="17">
        <v>168564</v>
      </c>
      <c r="C11" s="17">
        <v>0</v>
      </c>
      <c r="D11" s="17">
        <v>176600</v>
      </c>
      <c r="E11" s="17">
        <v>176600</v>
      </c>
      <c r="F11" s="17">
        <v>177790</v>
      </c>
      <c r="G11" s="18">
        <f>IF(AND(F67&lt;&gt;0,177790&lt;&gt;0),IF(100*177790/(F67-0)&lt;0.005,"*",100*177790/(F67-0)),0)</f>
        <v>1.3782820151523421</v>
      </c>
    </row>
    <row r="12" spans="1:7" x14ac:dyDescent="0.2">
      <c r="A12" s="11" t="s">
        <v>117</v>
      </c>
      <c r="B12" s="17">
        <v>140425</v>
      </c>
      <c r="C12" s="17">
        <v>0</v>
      </c>
      <c r="D12" s="17">
        <v>144548</v>
      </c>
      <c r="E12" s="17">
        <v>144548</v>
      </c>
      <c r="F12" s="17">
        <v>145533</v>
      </c>
      <c r="G12" s="18">
        <f>IF(AND(F67&lt;&gt;0,145533&lt;&gt;0),IF(100*145533/(F67-0)&lt;0.005,"*",100*145533/(F67-0)),0)</f>
        <v>1.1282159655276776</v>
      </c>
    </row>
    <row r="13" spans="1:7" x14ac:dyDescent="0.2">
      <c r="A13" s="11" t="s">
        <v>118</v>
      </c>
      <c r="B13" s="17">
        <v>38070</v>
      </c>
      <c r="C13" s="17">
        <v>0</v>
      </c>
      <c r="D13" s="17">
        <v>39413</v>
      </c>
      <c r="E13" s="17">
        <v>39413</v>
      </c>
      <c r="F13" s="17">
        <v>39737</v>
      </c>
      <c r="G13" s="18">
        <f>IF(AND(F67&lt;&gt;0,39737&lt;&gt;0),IF(100*39737/(F67-0)&lt;0.005,"*",100*39737/(F67-0)),0)</f>
        <v>0.30805327879019412</v>
      </c>
    </row>
    <row r="14" spans="1:7" x14ac:dyDescent="0.2">
      <c r="A14" s="11" t="s">
        <v>119</v>
      </c>
      <c r="B14" s="17">
        <v>20101</v>
      </c>
      <c r="C14" s="17">
        <v>0</v>
      </c>
      <c r="D14" s="17">
        <v>21059</v>
      </c>
      <c r="E14" s="17">
        <v>21059</v>
      </c>
      <c r="F14" s="17">
        <v>21533</v>
      </c>
      <c r="G14" s="18">
        <f>IF(AND(F67&lt;&gt;0,21533&lt;&gt;0),IF(100*21533/(F67-0)&lt;0.005,"*",100*21533/(F67-0)),0)</f>
        <v>0.16693034834510029</v>
      </c>
    </row>
    <row r="15" spans="1:7" x14ac:dyDescent="0.2">
      <c r="A15" s="11" t="s">
        <v>120</v>
      </c>
      <c r="B15" s="17">
        <v>678801</v>
      </c>
      <c r="C15" s="17">
        <v>0</v>
      </c>
      <c r="D15" s="17">
        <v>702252</v>
      </c>
      <c r="E15" s="17">
        <v>702252</v>
      </c>
      <c r="F15" s="17">
        <v>706998</v>
      </c>
      <c r="G15" s="18">
        <f>IF(AND(F67&lt;&gt;0,706998&lt;&gt;0),IF(100*706998/(F67-0)&lt;0.005,"*",100*706998/(F67-0)),0)</f>
        <v>5.4808629740068371</v>
      </c>
    </row>
    <row r="16" spans="1:7" x14ac:dyDescent="0.2">
      <c r="A16" s="11" t="s">
        <v>121</v>
      </c>
      <c r="B16" s="17">
        <v>363688</v>
      </c>
      <c r="C16" s="17">
        <v>0</v>
      </c>
      <c r="D16" s="17">
        <v>381031</v>
      </c>
      <c r="E16" s="17">
        <v>381031</v>
      </c>
      <c r="F16" s="17">
        <v>383594</v>
      </c>
      <c r="G16" s="18">
        <f>IF(AND(F67&lt;&gt;0,383594&lt;&gt;0),IF(100*383594/(F67-0)&lt;0.005,"*",100*383594/(F67-0)),0)</f>
        <v>2.9737370567543029</v>
      </c>
    </row>
    <row r="17" spans="1:7" x14ac:dyDescent="0.2">
      <c r="A17" s="11" t="s">
        <v>122</v>
      </c>
      <c r="B17" s="17">
        <v>41986</v>
      </c>
      <c r="C17" s="17">
        <v>0</v>
      </c>
      <c r="D17" s="17">
        <v>43220</v>
      </c>
      <c r="E17" s="17">
        <v>43220</v>
      </c>
      <c r="F17" s="17">
        <v>43513</v>
      </c>
      <c r="G17" s="18">
        <f>IF(AND(F67&lt;&gt;0,43513&lt;&gt;0),IF(100*43513/(F67-0)&lt;0.005,"*",100*43513/(F67-0)),0)</f>
        <v>0.33732597629407651</v>
      </c>
    </row>
    <row r="18" spans="1:7" x14ac:dyDescent="0.2">
      <c r="A18" s="11" t="s">
        <v>123</v>
      </c>
      <c r="B18" s="17">
        <v>59643</v>
      </c>
      <c r="C18" s="17">
        <v>0</v>
      </c>
      <c r="D18" s="17">
        <v>62486</v>
      </c>
      <c r="E18" s="17">
        <v>62486</v>
      </c>
      <c r="F18" s="17">
        <v>62907</v>
      </c>
      <c r="G18" s="18">
        <f>IF(AND(F67&lt;&gt;0,62907&lt;&gt;0),IF(100*62907/(F67-0)&lt;0.005,"*",100*62907/(F67-0)),0)</f>
        <v>0.48767414774277734</v>
      </c>
    </row>
    <row r="19" spans="1:7" x14ac:dyDescent="0.2">
      <c r="A19" s="11" t="s">
        <v>124</v>
      </c>
      <c r="B19" s="17">
        <v>534101</v>
      </c>
      <c r="C19" s="17">
        <v>0</v>
      </c>
      <c r="D19" s="17">
        <v>549779</v>
      </c>
      <c r="E19" s="17">
        <v>549779</v>
      </c>
      <c r="F19" s="17">
        <v>553527</v>
      </c>
      <c r="G19" s="18">
        <f>IF(AND(F67&lt;&gt;0,553527&lt;&gt;0),IF(100*553527/(F67-0)&lt;0.005,"*",100*553527/(F67-0)),0)</f>
        <v>4.2911092243727458</v>
      </c>
    </row>
    <row r="20" spans="1:7" x14ac:dyDescent="0.2">
      <c r="A20" s="11" t="s">
        <v>125</v>
      </c>
      <c r="B20" s="17">
        <v>273053</v>
      </c>
      <c r="C20" s="17">
        <v>0</v>
      </c>
      <c r="D20" s="17">
        <v>281079</v>
      </c>
      <c r="E20" s="17">
        <v>281079</v>
      </c>
      <c r="F20" s="17">
        <v>282984</v>
      </c>
      <c r="G20" s="18">
        <f>IF(AND(F67&lt;&gt;0,282984&lt;&gt;0),IF(100*282984/(F67-0)&lt;0.005,"*",100*282984/(F67-0)),0)</f>
        <v>2.1937778152644714</v>
      </c>
    </row>
    <row r="21" spans="1:7" x14ac:dyDescent="0.2">
      <c r="A21" s="11" t="s">
        <v>126</v>
      </c>
      <c r="B21" s="17">
        <v>128974</v>
      </c>
      <c r="C21" s="17">
        <v>0</v>
      </c>
      <c r="D21" s="17">
        <v>132762</v>
      </c>
      <c r="E21" s="17">
        <v>132762</v>
      </c>
      <c r="F21" s="17">
        <v>133665</v>
      </c>
      <c r="G21" s="18">
        <f>IF(AND(F67&lt;&gt;0,133665&lt;&gt;0),IF(100*133665/(F67-0)&lt;0.005,"*",100*133665/(F67-0)),0)</f>
        <v>1.0362116291992678</v>
      </c>
    </row>
    <row r="22" spans="1:7" x14ac:dyDescent="0.2">
      <c r="A22" s="11" t="s">
        <v>127</v>
      </c>
      <c r="B22" s="17">
        <v>112638</v>
      </c>
      <c r="C22" s="17">
        <v>0</v>
      </c>
      <c r="D22" s="17">
        <v>115949</v>
      </c>
      <c r="E22" s="17">
        <v>115949</v>
      </c>
      <c r="F22" s="17">
        <v>116735</v>
      </c>
      <c r="G22" s="18">
        <f>IF(AND(F67&lt;&gt;0,116735&lt;&gt;0),IF(100*116735/(F67-0)&lt;0.005,"*",100*116735/(F67-0)),0)</f>
        <v>0.90496513324038841</v>
      </c>
    </row>
    <row r="23" spans="1:7" x14ac:dyDescent="0.2">
      <c r="A23" s="11" t="s">
        <v>128</v>
      </c>
      <c r="B23" s="17">
        <v>166784</v>
      </c>
      <c r="C23" s="17">
        <v>0</v>
      </c>
      <c r="D23" s="17">
        <v>171686</v>
      </c>
      <c r="E23" s="17">
        <v>171686</v>
      </c>
      <c r="F23" s="17">
        <v>172850</v>
      </c>
      <c r="G23" s="18">
        <f>IF(AND(F67&lt;&gt;0,172850&lt;&gt;0),IF(100*172850/(F67-0)&lt;0.005,"*",100*172850/(F67-0)),0)</f>
        <v>1.3399856365323264</v>
      </c>
    </row>
    <row r="24" spans="1:7" x14ac:dyDescent="0.2">
      <c r="A24" s="11" t="s">
        <v>129</v>
      </c>
      <c r="B24" s="17">
        <v>198964</v>
      </c>
      <c r="C24" s="17">
        <v>0</v>
      </c>
      <c r="D24" s="17">
        <v>204811</v>
      </c>
      <c r="E24" s="17">
        <v>204811</v>
      </c>
      <c r="F24" s="17">
        <v>206200</v>
      </c>
      <c r="G24" s="18">
        <f>IF(AND(F67&lt;&gt;0,206200&lt;&gt;0),IF(100*206200/(F67-0)&lt;0.005,"*",100*206200/(F67-0)),0)</f>
        <v>1.5985249537342536</v>
      </c>
    </row>
    <row r="25" spans="1:7" x14ac:dyDescent="0.2">
      <c r="A25" s="11" t="s">
        <v>130</v>
      </c>
      <c r="B25" s="17">
        <v>57807</v>
      </c>
      <c r="C25" s="17">
        <v>0</v>
      </c>
      <c r="D25" s="17">
        <v>59501</v>
      </c>
      <c r="E25" s="17">
        <v>59501</v>
      </c>
      <c r="F25" s="17">
        <v>59910</v>
      </c>
      <c r="G25" s="18">
        <f>IF(AND(F67&lt;&gt;0,59910&lt;&gt;0),IF(100*59910/(F67-0)&lt;0.005,"*",100*59910/(F67-0)),0)</f>
        <v>0.46444049455974357</v>
      </c>
    </row>
    <row r="26" spans="1:7" x14ac:dyDescent="0.2">
      <c r="A26" s="11" t="s">
        <v>131</v>
      </c>
      <c r="B26" s="17">
        <v>211199</v>
      </c>
      <c r="C26" s="17">
        <v>0</v>
      </c>
      <c r="D26" s="17">
        <v>217406</v>
      </c>
      <c r="E26" s="17">
        <v>217406</v>
      </c>
      <c r="F26" s="17">
        <v>218881</v>
      </c>
      <c r="G26" s="18">
        <f>IF(AND(F67&lt;&gt;0,218881&lt;&gt;0),IF(100*218881/(F67-0)&lt;0.005,"*",100*218881/(F67-0)),0)</f>
        <v>1.6968319126979008</v>
      </c>
    </row>
    <row r="27" spans="1:7" x14ac:dyDescent="0.2">
      <c r="A27" s="11" t="s">
        <v>132</v>
      </c>
      <c r="B27" s="17">
        <v>299889</v>
      </c>
      <c r="C27" s="17">
        <v>0</v>
      </c>
      <c r="D27" s="17">
        <v>308688</v>
      </c>
      <c r="E27" s="17">
        <v>308688</v>
      </c>
      <c r="F27" s="17">
        <v>310797</v>
      </c>
      <c r="G27" s="18">
        <f>IF(AND(F67&lt;&gt;0,310797&lt;&gt;0),IF(100*310797/(F67-0)&lt;0.005,"*",100*310797/(F67-0)),0)</f>
        <v>2.4093926287378507</v>
      </c>
    </row>
    <row r="28" spans="1:7" x14ac:dyDescent="0.2">
      <c r="A28" s="11" t="s">
        <v>133</v>
      </c>
      <c r="B28" s="17">
        <v>421469</v>
      </c>
      <c r="C28" s="17">
        <v>0</v>
      </c>
      <c r="D28" s="17">
        <v>433847</v>
      </c>
      <c r="E28" s="17">
        <v>433847</v>
      </c>
      <c r="F28" s="17">
        <v>436798</v>
      </c>
      <c r="G28" s="18">
        <f>IF(AND(F67&lt;&gt;0,436798&lt;&gt;0),IF(100*436798/(F67-0)&lt;0.005,"*",100*436798/(F67-0)),0)</f>
        <v>3.3861906049525436</v>
      </c>
    </row>
    <row r="29" spans="1:7" x14ac:dyDescent="0.2">
      <c r="A29" s="11" t="s">
        <v>134</v>
      </c>
      <c r="B29" s="17">
        <v>200247</v>
      </c>
      <c r="C29" s="17">
        <v>0</v>
      </c>
      <c r="D29" s="17">
        <v>206133</v>
      </c>
      <c r="E29" s="17">
        <v>206133</v>
      </c>
      <c r="F29" s="17">
        <v>207530</v>
      </c>
      <c r="G29" s="18">
        <f>IF(AND(F67&lt;&gt;0,207530&lt;&gt;0),IF(100*207530/(F67-0)&lt;0.005,"*",100*207530/(F67-0)),0)</f>
        <v>1.6088355172088731</v>
      </c>
    </row>
    <row r="30" spans="1:7" x14ac:dyDescent="0.2">
      <c r="A30" s="11" t="s">
        <v>135</v>
      </c>
      <c r="B30" s="17">
        <v>126410</v>
      </c>
      <c r="C30" s="17">
        <v>0</v>
      </c>
      <c r="D30" s="17">
        <v>130125</v>
      </c>
      <c r="E30" s="17">
        <v>130125</v>
      </c>
      <c r="F30" s="17">
        <v>131008</v>
      </c>
      <c r="G30" s="18">
        <f>IF(AND(F67&lt;&gt;0,131008&lt;&gt;0),IF(100*131008/(F67-0)&lt;0.005,"*",100*131008/(F67-0)),0)</f>
        <v>1.0156137591601218</v>
      </c>
    </row>
    <row r="31" spans="1:7" x14ac:dyDescent="0.2">
      <c r="A31" s="11" t="s">
        <v>136</v>
      </c>
      <c r="B31" s="17">
        <v>239942</v>
      </c>
      <c r="C31" s="17">
        <v>0</v>
      </c>
      <c r="D31" s="17">
        <v>246991</v>
      </c>
      <c r="E31" s="17">
        <v>246991</v>
      </c>
      <c r="F31" s="17">
        <v>248669</v>
      </c>
      <c r="G31" s="18">
        <f>IF(AND(F67&lt;&gt;0,248669&lt;&gt;0),IF(100*248669/(F67-0)&lt;0.005,"*",100*248669/(F67-0)),0)</f>
        <v>1.9277575253159218</v>
      </c>
    </row>
    <row r="32" spans="1:7" x14ac:dyDescent="0.2">
      <c r="A32" s="11" t="s">
        <v>137</v>
      </c>
      <c r="B32" s="17">
        <v>39843</v>
      </c>
      <c r="C32" s="17">
        <v>0</v>
      </c>
      <c r="D32" s="17">
        <v>41185</v>
      </c>
      <c r="E32" s="17">
        <v>41185</v>
      </c>
      <c r="F32" s="17">
        <v>41510</v>
      </c>
      <c r="G32" s="18">
        <f>IF(AND(F67&lt;&gt;0,41510&lt;&gt;0),IF(100*41510/(F67-0)&lt;0.005,"*",100*41510/(F67-0)),0)</f>
        <v>0.32179811265523212</v>
      </c>
    </row>
    <row r="33" spans="1:7" x14ac:dyDescent="0.2">
      <c r="A33" s="11" t="s">
        <v>138</v>
      </c>
      <c r="B33" s="17">
        <v>78884</v>
      </c>
      <c r="C33" s="17">
        <v>0</v>
      </c>
      <c r="D33" s="17">
        <v>81202</v>
      </c>
      <c r="E33" s="17">
        <v>81202</v>
      </c>
      <c r="F33" s="17">
        <v>81753</v>
      </c>
      <c r="G33" s="18">
        <f>IF(AND(F67&lt;&gt;0,81753&lt;&gt;0),IF(100*81753/(F67-0)&lt;0.005,"*",100*81753/(F67-0)),0)</f>
        <v>0.63377405694780031</v>
      </c>
    </row>
    <row r="34" spans="1:7" x14ac:dyDescent="0.2">
      <c r="A34" s="11" t="s">
        <v>139</v>
      </c>
      <c r="B34" s="17">
        <v>82056</v>
      </c>
      <c r="C34" s="17">
        <v>0</v>
      </c>
      <c r="D34" s="17">
        <v>85973</v>
      </c>
      <c r="E34" s="17">
        <v>85973</v>
      </c>
      <c r="F34" s="17">
        <v>87904</v>
      </c>
      <c r="G34" s="18">
        <f>IF(AND(F67&lt;&gt;0,87904&lt;&gt;0),IF(100*87904/(F67-0)&lt;0.005,"*",100*87904/(F67-0)),0)</f>
        <v>0.68145847494207479</v>
      </c>
    </row>
    <row r="35" spans="1:7" x14ac:dyDescent="0.2">
      <c r="A35" s="11" t="s">
        <v>140</v>
      </c>
      <c r="B35" s="17">
        <v>50130</v>
      </c>
      <c r="C35" s="17">
        <v>0</v>
      </c>
      <c r="D35" s="17">
        <v>51601</v>
      </c>
      <c r="E35" s="17">
        <v>51601</v>
      </c>
      <c r="F35" s="17">
        <v>51953</v>
      </c>
      <c r="G35" s="18">
        <f>IF(AND(F67&lt;&gt;0,51953&lt;&gt;0),IF(100*51953/(F67-0)&lt;0.005,"*",100*51953/(F67-0)),0)</f>
        <v>0.40275541668940673</v>
      </c>
    </row>
    <row r="36" spans="1:7" x14ac:dyDescent="0.2">
      <c r="A36" s="11" t="s">
        <v>141</v>
      </c>
      <c r="B36" s="17">
        <v>381858</v>
      </c>
      <c r="C36" s="17">
        <v>0</v>
      </c>
      <c r="D36" s="17">
        <v>393060</v>
      </c>
      <c r="E36" s="17">
        <v>393060</v>
      </c>
      <c r="F36" s="17">
        <v>395747</v>
      </c>
      <c r="G36" s="18">
        <f>IF(AND(F67&lt;&gt;0,395747&lt;&gt;0),IF(100*395747/(F67-0)&lt;0.005,"*",100*395747/(F67-0)),0)</f>
        <v>3.0679507995415598</v>
      </c>
    </row>
    <row r="37" spans="1:7" x14ac:dyDescent="0.2">
      <c r="A37" s="11" t="s">
        <v>142</v>
      </c>
      <c r="B37" s="17">
        <v>96223</v>
      </c>
      <c r="C37" s="17">
        <v>0</v>
      </c>
      <c r="D37" s="17">
        <v>99050</v>
      </c>
      <c r="E37" s="17">
        <v>99050</v>
      </c>
      <c r="F37" s="17">
        <v>99723</v>
      </c>
      <c r="G37" s="18">
        <f>IF(AND(F67&lt;&gt;0,99723&lt;&gt;0),IF(100*99723/(F67-0)&lt;0.005,"*",100*99723/(F67-0)),0)</f>
        <v>0.7730829484056303</v>
      </c>
    </row>
    <row r="38" spans="1:7" x14ac:dyDescent="0.2">
      <c r="A38" s="11" t="s">
        <v>143</v>
      </c>
      <c r="B38" s="17">
        <v>801337</v>
      </c>
      <c r="C38" s="17">
        <v>0</v>
      </c>
      <c r="D38" s="17">
        <v>824854</v>
      </c>
      <c r="E38" s="17">
        <v>824854</v>
      </c>
      <c r="F38" s="17">
        <v>830483</v>
      </c>
      <c r="G38" s="18">
        <f>IF(AND(F67&lt;&gt;0,830483&lt;&gt;0),IF(100*830483/(F67-0)&lt;0.005,"*",100*830483/(F67-0)),0)</f>
        <v>6.4381561549567605</v>
      </c>
    </row>
    <row r="39" spans="1:7" x14ac:dyDescent="0.2">
      <c r="A39" s="11" t="s">
        <v>144</v>
      </c>
      <c r="B39" s="17">
        <v>355552</v>
      </c>
      <c r="C39" s="17">
        <v>0</v>
      </c>
      <c r="D39" s="17">
        <v>372501</v>
      </c>
      <c r="E39" s="17">
        <v>372501</v>
      </c>
      <c r="F39" s="17">
        <v>375013</v>
      </c>
      <c r="G39" s="18">
        <f>IF(AND(F67&lt;&gt;0,375013&lt;&gt;0),IF(100*375013/(F67-0)&lt;0.005,"*",100*375013/(F67-0)),0)</f>
        <v>2.9072145415845956</v>
      </c>
    </row>
    <row r="40" spans="1:7" x14ac:dyDescent="0.2">
      <c r="A40" s="11" t="s">
        <v>145</v>
      </c>
      <c r="B40" s="17">
        <v>32462</v>
      </c>
      <c r="C40" s="17">
        <v>0</v>
      </c>
      <c r="D40" s="17">
        <v>34006</v>
      </c>
      <c r="E40" s="17">
        <v>34006</v>
      </c>
      <c r="F40" s="17">
        <v>34775</v>
      </c>
      <c r="G40" s="18">
        <f>IF(AND(F67&lt;&gt;0,34775&lt;&gt;0),IF(100*34775/(F67-0)&lt;0.005,"*",100*34775/(F67-0)),0)</f>
        <v>0.26958634949616228</v>
      </c>
    </row>
    <row r="41" spans="1:7" x14ac:dyDescent="0.2">
      <c r="A41" s="11" t="s">
        <v>146</v>
      </c>
      <c r="B41" s="17">
        <v>460721</v>
      </c>
      <c r="C41" s="17">
        <v>0</v>
      </c>
      <c r="D41" s="17">
        <v>474262</v>
      </c>
      <c r="E41" s="17">
        <v>474262</v>
      </c>
      <c r="F41" s="17">
        <v>477479</v>
      </c>
      <c r="G41" s="18">
        <f>IF(AND(F67&lt;&gt;0,477479&lt;&gt;0),IF(100*477479/(F67-0)&lt;0.005,"*",100*477479/(F67-0)),0)</f>
        <v>3.7015620581187081</v>
      </c>
    </row>
    <row r="42" spans="1:7" x14ac:dyDescent="0.2">
      <c r="A42" s="11" t="s">
        <v>147</v>
      </c>
      <c r="B42" s="17">
        <v>156666</v>
      </c>
      <c r="C42" s="17">
        <v>0</v>
      </c>
      <c r="D42" s="17">
        <v>161933</v>
      </c>
      <c r="E42" s="17">
        <v>161933</v>
      </c>
      <c r="F42" s="17">
        <v>163027</v>
      </c>
      <c r="G42" s="18">
        <f>IF(AND(F67&lt;&gt;0,163027&lt;&gt;0),IF(100*163027/(F67-0)&lt;0.005,"*",100*163027/(F67-0)),0)</f>
        <v>1.2638347605840647</v>
      </c>
    </row>
    <row r="43" spans="1:7" x14ac:dyDescent="0.2">
      <c r="A43" s="11" t="s">
        <v>148</v>
      </c>
      <c r="B43" s="17">
        <v>135895</v>
      </c>
      <c r="C43" s="17">
        <v>0</v>
      </c>
      <c r="D43" s="17">
        <v>136479</v>
      </c>
      <c r="E43" s="17">
        <v>136479</v>
      </c>
      <c r="F43" s="17">
        <v>140838</v>
      </c>
      <c r="G43" s="18">
        <f>IF(AND(F67&lt;&gt;0,140838&lt;&gt;0),IF(100*140838/(F67-0)&lt;0.005,"*",100*140838/(F67-0)),0)</f>
        <v>1.0918189012319339</v>
      </c>
    </row>
    <row r="44" spans="1:7" x14ac:dyDescent="0.2">
      <c r="A44" s="11" t="s">
        <v>149</v>
      </c>
      <c r="B44" s="17">
        <v>449732</v>
      </c>
      <c r="C44" s="17">
        <v>0</v>
      </c>
      <c r="D44" s="17">
        <v>462948</v>
      </c>
      <c r="E44" s="17">
        <v>462948</v>
      </c>
      <c r="F44" s="17">
        <v>466090</v>
      </c>
      <c r="G44" s="18">
        <f>IF(AND(F67&lt;&gt;0,466090&lt;&gt;0),IF(100*466090/(F67-0)&lt;0.005,"*",100*466090/(F67-0)),0)</f>
        <v>3.6132710751018342</v>
      </c>
    </row>
    <row r="45" spans="1:7" x14ac:dyDescent="0.2">
      <c r="A45" s="11" t="s">
        <v>150</v>
      </c>
      <c r="B45" s="17">
        <v>46198</v>
      </c>
      <c r="C45" s="17">
        <v>0</v>
      </c>
      <c r="D45" s="17">
        <v>47553</v>
      </c>
      <c r="E45" s="17">
        <v>47553</v>
      </c>
      <c r="F45" s="17">
        <v>47878</v>
      </c>
      <c r="G45" s="18">
        <f>IF(AND(F67&lt;&gt;0,47878&lt;&gt;0),IF(100*47878/(F67-0)&lt;0.005,"*",100*47878/(F67-0)),0)</f>
        <v>0.37116478047957607</v>
      </c>
    </row>
    <row r="46" spans="1:7" x14ac:dyDescent="0.2">
      <c r="A46" s="11" t="s">
        <v>151</v>
      </c>
      <c r="B46" s="17">
        <v>186823</v>
      </c>
      <c r="C46" s="17">
        <v>0</v>
      </c>
      <c r="D46" s="17">
        <v>192315</v>
      </c>
      <c r="E46" s="17">
        <v>192315</v>
      </c>
      <c r="F46" s="17">
        <v>193619</v>
      </c>
      <c r="G46" s="18">
        <f>IF(AND(F67&lt;&gt;0,193619&lt;&gt;0),IF(100*193619/(F67-0)&lt;0.005,"*",100*193619/(F67-0)),0)</f>
        <v>1.5009932251070439</v>
      </c>
    </row>
    <row r="47" spans="1:7" x14ac:dyDescent="0.2">
      <c r="A47" s="11" t="s">
        <v>152</v>
      </c>
      <c r="B47" s="17">
        <v>37703</v>
      </c>
      <c r="C47" s="17">
        <v>0</v>
      </c>
      <c r="D47" s="17">
        <v>39046</v>
      </c>
      <c r="E47" s="17">
        <v>39046</v>
      </c>
      <c r="F47" s="17">
        <v>39370</v>
      </c>
      <c r="G47" s="18">
        <f>IF(AND(F67&lt;&gt;0,39370&lt;&gt;0),IF(100*39370/(F67-0)&lt;0.005,"*",100*39370/(F67-0)),0)</f>
        <v>0.3052081834554683</v>
      </c>
    </row>
    <row r="48" spans="1:7" x14ac:dyDescent="0.2">
      <c r="A48" s="11" t="s">
        <v>153</v>
      </c>
      <c r="B48" s="17">
        <v>250893</v>
      </c>
      <c r="C48" s="17">
        <v>0</v>
      </c>
      <c r="D48" s="17">
        <v>258272</v>
      </c>
      <c r="E48" s="17">
        <v>258272</v>
      </c>
      <c r="F48" s="17">
        <v>260019</v>
      </c>
      <c r="G48" s="18">
        <f>IF(AND(F67&lt;&gt;0,260019&lt;&gt;0),IF(100*260019/(F67-0)&lt;0.005,"*",100*260019/(F67-0)),0)</f>
        <v>2.0157461685015852</v>
      </c>
    </row>
    <row r="49" spans="1:7" x14ac:dyDescent="0.2">
      <c r="A49" s="11" t="s">
        <v>154</v>
      </c>
      <c r="B49" s="17">
        <v>1075096</v>
      </c>
      <c r="C49" s="17">
        <v>0</v>
      </c>
      <c r="D49" s="17">
        <v>1126359</v>
      </c>
      <c r="E49" s="17">
        <v>1126359</v>
      </c>
      <c r="F49" s="17">
        <v>1133942</v>
      </c>
      <c r="G49" s="18">
        <f>IF(AND(F67&lt;&gt;0,1133942&lt;&gt;0),IF(100*1133942/(F67-0)&lt;0.005,"*",100*1133942/(F67-0)),0)</f>
        <v>8.7906623816068237</v>
      </c>
    </row>
    <row r="50" spans="1:7" x14ac:dyDescent="0.2">
      <c r="A50" s="11" t="s">
        <v>155</v>
      </c>
      <c r="B50" s="17">
        <v>121521</v>
      </c>
      <c r="C50" s="17">
        <v>0</v>
      </c>
      <c r="D50" s="17">
        <v>127317</v>
      </c>
      <c r="E50" s="17">
        <v>127317</v>
      </c>
      <c r="F50" s="17">
        <v>128173</v>
      </c>
      <c r="G50" s="18">
        <f>IF(AND(F67&lt;&gt;0,128173&lt;&gt;0),IF(100*128173/(F67-0)&lt;0.005,"*",100*128173/(F67-0)),0)</f>
        <v>0.99363597912211676</v>
      </c>
    </row>
    <row r="51" spans="1:7" x14ac:dyDescent="0.2">
      <c r="A51" s="11" t="s">
        <v>156</v>
      </c>
      <c r="B51" s="17">
        <v>31299</v>
      </c>
      <c r="C51" s="17">
        <v>0</v>
      </c>
      <c r="D51" s="17">
        <v>32787</v>
      </c>
      <c r="E51" s="17">
        <v>32787</v>
      </c>
      <c r="F51" s="17">
        <v>33530</v>
      </c>
      <c r="G51" s="18">
        <f>IF(AND(F67&lt;&gt;0,33530&lt;&gt;0),IF(100*33530/(F67-0)&lt;0.005,"*",100*33530/(F67-0)),0)</f>
        <v>0.25993473180751464</v>
      </c>
    </row>
    <row r="52" spans="1:7" x14ac:dyDescent="0.2">
      <c r="A52" s="11" t="s">
        <v>157</v>
      </c>
      <c r="B52" s="17">
        <v>299991</v>
      </c>
      <c r="C52" s="17">
        <v>0</v>
      </c>
      <c r="D52" s="17">
        <v>308813</v>
      </c>
      <c r="E52" s="17">
        <v>308813</v>
      </c>
      <c r="F52" s="17">
        <v>310902</v>
      </c>
      <c r="G52" s="18">
        <f>IF(AND(F67&lt;&gt;0,310902&lt;&gt;0),IF(100*310902/(F67-0)&lt;0.005,"*",100*310902/(F67-0)),0)</f>
        <v>2.4102066205911101</v>
      </c>
    </row>
    <row r="53" spans="1:7" x14ac:dyDescent="0.2">
      <c r="A53" s="11" t="s">
        <v>158</v>
      </c>
      <c r="B53" s="17">
        <v>232882</v>
      </c>
      <c r="C53" s="17">
        <v>0</v>
      </c>
      <c r="D53" s="17">
        <v>241300</v>
      </c>
      <c r="E53" s="17">
        <v>241300</v>
      </c>
      <c r="F53" s="17">
        <v>242930</v>
      </c>
      <c r="G53" s="18">
        <f>IF(AND(F67&lt;&gt;0,242930&lt;&gt;0),IF(100*242930/(F67-0)&lt;0.005,"*",100*242930/(F67-0)),0)</f>
        <v>1.8832670563077702</v>
      </c>
    </row>
    <row r="54" spans="1:7" x14ac:dyDescent="0.2">
      <c r="A54" s="11" t="s">
        <v>159</v>
      </c>
      <c r="B54" s="17">
        <v>80231</v>
      </c>
      <c r="C54" s="17">
        <v>0</v>
      </c>
      <c r="D54" s="17">
        <v>82585</v>
      </c>
      <c r="E54" s="17">
        <v>82585</v>
      </c>
      <c r="F54" s="17">
        <v>83149</v>
      </c>
      <c r="G54" s="18">
        <f>IF(AND(F67&lt;&gt;0,83149&lt;&gt;0),IF(100*83149/(F67-0)&lt;0.005,"*",100*83149/(F67-0)),0)</f>
        <v>0.64459627244446871</v>
      </c>
    </row>
    <row r="55" spans="1:7" x14ac:dyDescent="0.2">
      <c r="A55" s="11" t="s">
        <v>160</v>
      </c>
      <c r="B55" s="17">
        <v>219604</v>
      </c>
      <c r="C55" s="17">
        <v>0</v>
      </c>
      <c r="D55" s="17">
        <v>226055</v>
      </c>
      <c r="E55" s="17">
        <v>226055</v>
      </c>
      <c r="F55" s="17">
        <v>227591</v>
      </c>
      <c r="G55" s="18">
        <f>IF(AND(F67&lt;&gt;0,227591&lt;&gt;0),IF(100*227591/(F67-0)&lt;0.005,"*",100*227591/(F67-0)),0)</f>
        <v>1.7643544750016125</v>
      </c>
    </row>
    <row r="56" spans="1:7" x14ac:dyDescent="0.2">
      <c r="A56" s="11" t="s">
        <v>161</v>
      </c>
      <c r="B56" s="17">
        <v>32836</v>
      </c>
      <c r="C56" s="17">
        <v>0</v>
      </c>
      <c r="D56" s="17">
        <v>34397</v>
      </c>
      <c r="E56" s="17">
        <v>34397</v>
      </c>
      <c r="F56" s="17">
        <v>35176</v>
      </c>
      <c r="G56" s="18">
        <f>IF(AND(F67&lt;&gt;0,35176&lt;&gt;0),IF(100*35176/(F67-0)&lt;0.005,"*",100*35176/(F67-0)),0)</f>
        <v>0.27269502314527694</v>
      </c>
    </row>
    <row r="57" spans="1:7" x14ac:dyDescent="0.2">
      <c r="A57" s="11" t="s">
        <v>162</v>
      </c>
      <c r="B57" s="17">
        <v>7130</v>
      </c>
      <c r="C57" s="17">
        <v>0</v>
      </c>
      <c r="D57" s="17">
        <v>7141</v>
      </c>
      <c r="E57" s="17">
        <v>7141</v>
      </c>
      <c r="F57" s="17">
        <v>6965</v>
      </c>
      <c r="G57" s="18">
        <f>IF(AND(F67&lt;&gt;0,6965&lt;&gt;0),IF(100*6965/(F67-0)&lt;0.005,"*",100*6965/(F67-0)),0)</f>
        <v>5.3994792932876214E-2</v>
      </c>
    </row>
    <row r="58" spans="1:7" x14ac:dyDescent="0.2">
      <c r="A58" s="11" t="s">
        <v>163</v>
      </c>
      <c r="B58" s="17">
        <v>16818</v>
      </c>
      <c r="C58" s="17">
        <v>0</v>
      </c>
      <c r="D58" s="17">
        <v>16877</v>
      </c>
      <c r="E58" s="17">
        <v>16877</v>
      </c>
      <c r="F58" s="17">
        <v>16961</v>
      </c>
      <c r="G58" s="18">
        <f>IF(AND(F67&lt;&gt;0,16961&lt;&gt;0),IF(100*16961/(F67-0)&lt;0.005,"*",100*16961/(F67-0)),0)</f>
        <v>0.13148681736317494</v>
      </c>
    </row>
    <row r="59" spans="1:7" x14ac:dyDescent="0.2">
      <c r="A59" s="11" t="s">
        <v>164</v>
      </c>
      <c r="B59" s="17">
        <v>5089</v>
      </c>
      <c r="C59" s="17">
        <v>0</v>
      </c>
      <c r="D59" s="17">
        <v>5050</v>
      </c>
      <c r="E59" s="17">
        <v>5050</v>
      </c>
      <c r="F59" s="17">
        <v>5288</v>
      </c>
      <c r="G59" s="18">
        <f>IF(AND(F67&lt;&gt;0,5288&lt;&gt;0),IF(100*5288/(F67-0)&lt;0.005,"*",100*5288/(F67-0)),0)</f>
        <v>4.0994180190818297E-2</v>
      </c>
    </row>
    <row r="60" spans="1:7" x14ac:dyDescent="0.2">
      <c r="A60" s="11" t="s">
        <v>165</v>
      </c>
      <c r="B60" s="17">
        <v>128646</v>
      </c>
      <c r="C60" s="17">
        <v>0</v>
      </c>
      <c r="D60" s="17">
        <v>132433</v>
      </c>
      <c r="E60" s="17">
        <v>132433</v>
      </c>
      <c r="F60" s="17">
        <v>133325</v>
      </c>
      <c r="G60" s="18">
        <f>IF(AND(F67&lt;&gt;0,133325&lt;&gt;0),IF(100*133325/(F67-0)&lt;0.005,"*",100*133325/(F67-0)),0)</f>
        <v>1.0335758460553799</v>
      </c>
    </row>
    <row r="61" spans="1:7" x14ac:dyDescent="0.2">
      <c r="A61" s="11" t="s">
        <v>166</v>
      </c>
      <c r="B61" s="17">
        <v>6579</v>
      </c>
      <c r="C61" s="17">
        <v>0</v>
      </c>
      <c r="D61" s="17">
        <v>6579</v>
      </c>
      <c r="E61" s="17">
        <v>6579</v>
      </c>
      <c r="F61" s="17">
        <v>6579</v>
      </c>
      <c r="G61" s="18">
        <f>IF(AND(F67&lt;&gt;0,6579&lt;&gt;0),IF(100*6579/(F67-0)&lt;0.005,"*",100*6579/(F67-0)),0)</f>
        <v>5.1002403834227224E-2</v>
      </c>
    </row>
    <row r="62" spans="1:7" x14ac:dyDescent="0.2">
      <c r="A62" s="11" t="s">
        <v>167</v>
      </c>
      <c r="B62" s="17">
        <v>8975</v>
      </c>
      <c r="C62" s="17">
        <v>0</v>
      </c>
      <c r="D62" s="17">
        <v>8945</v>
      </c>
      <c r="E62" s="17">
        <v>8945</v>
      </c>
      <c r="F62" s="17">
        <v>8798</v>
      </c>
      <c r="G62" s="18">
        <f>IF(AND(F67&lt;&gt;0,8798&lt;&gt;0),IF(100*8798/(F67-0)&lt;0.005,"*",100*8798/(F67-0)),0)</f>
        <v>6.8204764999776735E-2</v>
      </c>
    </row>
    <row r="63" spans="1:7" x14ac:dyDescent="0.2">
      <c r="A63" s="11" t="s">
        <v>168</v>
      </c>
      <c r="B63" s="17">
        <v>97500</v>
      </c>
      <c r="C63" s="17">
        <v>0</v>
      </c>
      <c r="D63" s="17">
        <v>99028</v>
      </c>
      <c r="E63" s="17">
        <v>99028</v>
      </c>
      <c r="F63" s="17">
        <v>99804</v>
      </c>
      <c r="G63" s="18">
        <f>IF(AND(F67&lt;&gt;0,99804&lt;&gt;0),IF(100*99804/(F67-0)&lt;0.005,"*",100*99804/(F67-0)),0)</f>
        <v>0.77371088497814466</v>
      </c>
    </row>
    <row r="64" spans="1:7" x14ac:dyDescent="0.2">
      <c r="A64" s="11" t="s">
        <v>169</v>
      </c>
      <c r="B64" s="17">
        <v>0</v>
      </c>
      <c r="C64" s="17">
        <v>0</v>
      </c>
      <c r="D64" s="17">
        <v>0</v>
      </c>
      <c r="E64" s="17">
        <v>0</v>
      </c>
      <c r="F64" s="17">
        <v>0</v>
      </c>
      <c r="G64" s="18">
        <v>0</v>
      </c>
    </row>
    <row r="65" spans="1:7" x14ac:dyDescent="0.2">
      <c r="A65" s="11" t="s">
        <v>184</v>
      </c>
      <c r="B65" s="17">
        <v>20000</v>
      </c>
      <c r="C65" s="17">
        <v>0</v>
      </c>
      <c r="D65" s="17">
        <v>10000</v>
      </c>
      <c r="E65" s="17">
        <v>10000</v>
      </c>
      <c r="F65" s="17">
        <v>50000</v>
      </c>
      <c r="G65" s="18">
        <f>IF(AND(F67&lt;&gt;0,50000&lt;&gt;0),IF(100*50000/(F67-0)&lt;0.005,"*",100*50000/(F67-0)),0)</f>
        <v>0.38761516821878117</v>
      </c>
    </row>
    <row r="66" spans="1:7" x14ac:dyDescent="0.2">
      <c r="A66" s="11" t="s">
        <v>29</v>
      </c>
      <c r="B66" s="17">
        <v>0</v>
      </c>
      <c r="C66" s="17">
        <v>0</v>
      </c>
      <c r="D66" s="17">
        <v>0</v>
      </c>
      <c r="E66" s="17">
        <v>0</v>
      </c>
      <c r="F66" s="17">
        <v>0</v>
      </c>
      <c r="G66" s="18">
        <f>IF(AND(F67&lt;&gt;0,0&lt;&gt;0),IF(100*0/(F67-0)&lt;0.005,"*",100*0/(F67-0)),0)</f>
        <v>0</v>
      </c>
    </row>
    <row r="67" spans="1:7" ht="15" customHeight="1" x14ac:dyDescent="0.2">
      <c r="A67" s="19" t="s">
        <v>110</v>
      </c>
      <c r="B67" s="20">
        <f>191704+39093+215703+118077+1289887+168564+140425+38070+20101+678801+363688+41986+59643+534101+273053+128974+112638+166784+198964+57807+211199+299889+421469+200247+126410+239942+39843+78884+82056+50130+381858+96223+801337+355552+32462+460721+156666+135895+449732+46198+186823+37703+250893+1075096+121521+31299+299991+232882+80231+219604+32836+7130+16818+5089+128646+6579+8975+97500+0+20000+0+0</f>
        <v>12364392</v>
      </c>
      <c r="C67" s="20">
        <f>0+0+0+0+0+0+0+0+0+0+0+0+0+0+0+0+0+0+0+0+0+0+0+0+0+0+0+0+0+0+0+0+0+0+0+0+0+0+0+0+0+0+0+0+0+0+0+0+0+0+0+0+0+0+0+0+0+0+0+0+0+0</f>
        <v>0</v>
      </c>
      <c r="D67" s="20">
        <f>197338+40434+225998+121548+1327802+176600+144548+39413+21059+702252+381031+43220+62486+549779+281079+132762+115949+171686+204811+59501+217406+308688+433847+206133+130125+246991+41185+81202+85973+51601+393060+99050+824854+372501+34006+474262+161933+136479+462948+47553+192315+39046+258272+1126359+127317+32787+308813+241300+82585+226055+34397+7141+16877+5050+132433+6579+8945+99028+0+10000+0+0</f>
        <v>12764392</v>
      </c>
      <c r="E67" s="20">
        <f>SUM(C67:D67)</f>
        <v>12764392</v>
      </c>
      <c r="F67" s="20">
        <f>198677+40760+229327+122372+1336803+177790+145533+39737+21533+706998+383594+43513+62907+553527+282984+133665+116735+172850+206200+59910+218881+310797+436798+207530+131008+248669+41510+81753+87904+51953+395747+99723+830483+375013+34775+477479+163027+140838+466090+47878+193619+39370+260019+1133942+128173+33530+310902+242930+83149+227591+35176+6965+16961+5288+133325+6579+8798+99804+0+50000+0+0</f>
        <v>12899392</v>
      </c>
      <c r="G67" s="21" t="s">
        <v>170</v>
      </c>
    </row>
    <row r="68" spans="1:7" ht="15" customHeight="1" x14ac:dyDescent="0.2">
      <c r="A68" s="74" t="s">
        <v>171</v>
      </c>
      <c r="B68" s="74"/>
      <c r="C68" s="74"/>
      <c r="D68" s="74"/>
      <c r="E68" s="74"/>
      <c r="F68" s="74"/>
      <c r="G68" s="74"/>
    </row>
    <row r="69" spans="1:7" ht="15" customHeight="1" x14ac:dyDescent="0.2">
      <c r="A69" s="67" t="s">
        <v>172</v>
      </c>
      <c r="B69" s="67"/>
      <c r="C69" s="67"/>
      <c r="D69" s="67"/>
      <c r="E69" s="67"/>
      <c r="F69" s="67"/>
      <c r="G69" s="67"/>
    </row>
  </sheetData>
  <mergeCells count="6">
    <mergeCell ref="A69:G69"/>
    <mergeCell ref="A4:A5"/>
    <mergeCell ref="B4:B5"/>
    <mergeCell ref="F4:F5"/>
    <mergeCell ref="G4:G5"/>
    <mergeCell ref="A68:G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185</v>
      </c>
      <c r="B1" s="10"/>
      <c r="C1" s="10"/>
      <c r="D1" s="10"/>
      <c r="E1" s="10"/>
      <c r="F1" s="10"/>
      <c r="G1" s="12" t="s">
        <v>186</v>
      </c>
    </row>
    <row r="2" spans="1:7" x14ac:dyDescent="0.2">
      <c r="A2" s="13" t="s">
        <v>187</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ht="15" x14ac:dyDescent="0.2">
      <c r="A6" s="11" t="s">
        <v>111</v>
      </c>
      <c r="B6" s="17">
        <v>257319</v>
      </c>
      <c r="C6" s="17">
        <v>0</v>
      </c>
      <c r="D6" s="17">
        <v>266757</v>
      </c>
      <c r="E6" s="17">
        <v>266757</v>
      </c>
      <c r="F6" s="22" t="s">
        <v>188</v>
      </c>
      <c r="G6" s="18">
        <f>IF(AND(F65&lt;&gt;0,0&lt;&gt;0),IF(100*0/(F65-0)&lt;0.005,"*",100*0/(F65-0)),0)</f>
        <v>0</v>
      </c>
    </row>
    <row r="7" spans="1:7" ht="15" x14ac:dyDescent="0.2">
      <c r="A7" s="11" t="s">
        <v>112</v>
      </c>
      <c r="B7" s="17">
        <v>45609</v>
      </c>
      <c r="C7" s="17">
        <v>0</v>
      </c>
      <c r="D7" s="17">
        <v>47237</v>
      </c>
      <c r="E7" s="17">
        <v>47237</v>
      </c>
      <c r="F7" s="22" t="s">
        <v>188</v>
      </c>
      <c r="G7" s="18">
        <f>IF(AND(F65&lt;&gt;0,0&lt;&gt;0),IF(100*0/(F65-0)&lt;0.005,"*",100*0/(F65-0)),0)</f>
        <v>0</v>
      </c>
    </row>
    <row r="8" spans="1:7" ht="15" x14ac:dyDescent="0.2">
      <c r="A8" s="11" t="s">
        <v>113</v>
      </c>
      <c r="B8" s="17">
        <v>339128</v>
      </c>
      <c r="C8" s="17">
        <v>0</v>
      </c>
      <c r="D8" s="17">
        <v>346165</v>
      </c>
      <c r="E8" s="17">
        <v>346165</v>
      </c>
      <c r="F8" s="22" t="s">
        <v>188</v>
      </c>
      <c r="G8" s="18">
        <f>IF(AND(F65&lt;&gt;0,0&lt;&gt;0),IF(100*0/(F65-0)&lt;0.005,"*",100*0/(F65-0)),0)</f>
        <v>0</v>
      </c>
    </row>
    <row r="9" spans="1:7" ht="15" x14ac:dyDescent="0.2">
      <c r="A9" s="11" t="s">
        <v>114</v>
      </c>
      <c r="B9" s="17">
        <v>157131</v>
      </c>
      <c r="C9" s="17">
        <v>0</v>
      </c>
      <c r="D9" s="17">
        <v>166713</v>
      </c>
      <c r="E9" s="17">
        <v>166713</v>
      </c>
      <c r="F9" s="22" t="s">
        <v>188</v>
      </c>
      <c r="G9" s="18">
        <f>IF(AND(F65&lt;&gt;0,0&lt;&gt;0),IF(100*0/(F65-0)&lt;0.005,"*",100*0/(F65-0)),0)</f>
        <v>0</v>
      </c>
    </row>
    <row r="10" spans="1:7" ht="15" x14ac:dyDescent="0.2">
      <c r="A10" s="11" t="s">
        <v>115</v>
      </c>
      <c r="B10" s="17">
        <v>1963513</v>
      </c>
      <c r="C10" s="17">
        <v>0</v>
      </c>
      <c r="D10" s="17">
        <v>2001305</v>
      </c>
      <c r="E10" s="17">
        <v>2001305</v>
      </c>
      <c r="F10" s="22" t="s">
        <v>188</v>
      </c>
      <c r="G10" s="18">
        <f>IF(AND(F65&lt;&gt;0,0&lt;&gt;0),IF(100*0/(F65-0)&lt;0.005,"*",100*0/(F65-0)),0)</f>
        <v>0</v>
      </c>
    </row>
    <row r="11" spans="1:7" ht="15" x14ac:dyDescent="0.2">
      <c r="A11" s="11" t="s">
        <v>116</v>
      </c>
      <c r="B11" s="17">
        <v>145897</v>
      </c>
      <c r="C11" s="17">
        <v>0</v>
      </c>
      <c r="D11" s="17">
        <v>153676</v>
      </c>
      <c r="E11" s="17">
        <v>153676</v>
      </c>
      <c r="F11" s="22" t="s">
        <v>188</v>
      </c>
      <c r="G11" s="18">
        <f>IF(AND(F65&lt;&gt;0,0&lt;&gt;0),IF(100*0/(F65-0)&lt;0.005,"*",100*0/(F65-0)),0)</f>
        <v>0</v>
      </c>
    </row>
    <row r="12" spans="1:7" ht="15" x14ac:dyDescent="0.2">
      <c r="A12" s="11" t="s">
        <v>117</v>
      </c>
      <c r="B12" s="17">
        <v>131135</v>
      </c>
      <c r="C12" s="17">
        <v>0</v>
      </c>
      <c r="D12" s="17">
        <v>144720</v>
      </c>
      <c r="E12" s="17">
        <v>144720</v>
      </c>
      <c r="F12" s="22" t="s">
        <v>188</v>
      </c>
      <c r="G12" s="18">
        <f>IF(AND(F65&lt;&gt;0,0&lt;&gt;0),IF(100*0/(F65-0)&lt;0.005,"*",100*0/(F65-0)),0)</f>
        <v>0</v>
      </c>
    </row>
    <row r="13" spans="1:7" ht="15" x14ac:dyDescent="0.2">
      <c r="A13" s="11" t="s">
        <v>118</v>
      </c>
      <c r="B13" s="17">
        <v>52114</v>
      </c>
      <c r="C13" s="17">
        <v>0</v>
      </c>
      <c r="D13" s="17">
        <v>54692</v>
      </c>
      <c r="E13" s="17">
        <v>54692</v>
      </c>
      <c r="F13" s="22" t="s">
        <v>188</v>
      </c>
      <c r="G13" s="18">
        <f>IF(AND(F65&lt;&gt;0,0&lt;&gt;0),IF(100*0/(F65-0)&lt;0.005,"*",100*0/(F65-0)),0)</f>
        <v>0</v>
      </c>
    </row>
    <row r="14" spans="1:7" ht="15" x14ac:dyDescent="0.2">
      <c r="A14" s="11" t="s">
        <v>119</v>
      </c>
      <c r="B14" s="17">
        <v>49085</v>
      </c>
      <c r="C14" s="17">
        <v>0</v>
      </c>
      <c r="D14" s="17">
        <v>50815</v>
      </c>
      <c r="E14" s="17">
        <v>50815</v>
      </c>
      <c r="F14" s="22" t="s">
        <v>188</v>
      </c>
      <c r="G14" s="18">
        <f>IF(AND(F65&lt;&gt;0,0&lt;&gt;0),IF(100*0/(F65-0)&lt;0.005,"*",100*0/(F65-0)),0)</f>
        <v>0</v>
      </c>
    </row>
    <row r="15" spans="1:7" ht="15" x14ac:dyDescent="0.2">
      <c r="A15" s="11" t="s">
        <v>120</v>
      </c>
      <c r="B15" s="17">
        <v>898113</v>
      </c>
      <c r="C15" s="17">
        <v>0</v>
      </c>
      <c r="D15" s="17">
        <v>922111</v>
      </c>
      <c r="E15" s="17">
        <v>922111</v>
      </c>
      <c r="F15" s="22" t="s">
        <v>188</v>
      </c>
      <c r="G15" s="18">
        <f>IF(AND(F65&lt;&gt;0,0&lt;&gt;0),IF(100*0/(F65-0)&lt;0.005,"*",100*0/(F65-0)),0)</f>
        <v>0</v>
      </c>
    </row>
    <row r="16" spans="1:7" ht="15" x14ac:dyDescent="0.2">
      <c r="A16" s="11" t="s">
        <v>121</v>
      </c>
      <c r="B16" s="17">
        <v>538160</v>
      </c>
      <c r="C16" s="17">
        <v>0</v>
      </c>
      <c r="D16" s="17">
        <v>557193</v>
      </c>
      <c r="E16" s="17">
        <v>557193</v>
      </c>
      <c r="F16" s="22" t="s">
        <v>188</v>
      </c>
      <c r="G16" s="18">
        <f>IF(AND(F65&lt;&gt;0,0&lt;&gt;0),IF(100*0/(F65-0)&lt;0.005,"*",100*0/(F65-0)),0)</f>
        <v>0</v>
      </c>
    </row>
    <row r="17" spans="1:7" ht="15" x14ac:dyDescent="0.2">
      <c r="A17" s="11" t="s">
        <v>122</v>
      </c>
      <c r="B17" s="17">
        <v>51230</v>
      </c>
      <c r="C17" s="17">
        <v>0</v>
      </c>
      <c r="D17" s="17">
        <v>54140</v>
      </c>
      <c r="E17" s="17">
        <v>54140</v>
      </c>
      <c r="F17" s="22" t="s">
        <v>188</v>
      </c>
      <c r="G17" s="18">
        <f>IF(AND(F65&lt;&gt;0,0&lt;&gt;0),IF(100*0/(F65-0)&lt;0.005,"*",100*0/(F65-0)),0)</f>
        <v>0</v>
      </c>
    </row>
    <row r="18" spans="1:7" ht="15" x14ac:dyDescent="0.2">
      <c r="A18" s="11" t="s">
        <v>123</v>
      </c>
      <c r="B18" s="17">
        <v>58230</v>
      </c>
      <c r="C18" s="17">
        <v>0</v>
      </c>
      <c r="D18" s="17">
        <v>58591</v>
      </c>
      <c r="E18" s="17">
        <v>58591</v>
      </c>
      <c r="F18" s="22" t="s">
        <v>188</v>
      </c>
      <c r="G18" s="18">
        <f>IF(AND(F65&lt;&gt;0,0&lt;&gt;0),IF(100*0/(F65-0)&lt;0.005,"*",100*0/(F65-0)),0)</f>
        <v>0</v>
      </c>
    </row>
    <row r="19" spans="1:7" ht="15" x14ac:dyDescent="0.2">
      <c r="A19" s="11" t="s">
        <v>124</v>
      </c>
      <c r="B19" s="17">
        <v>671396</v>
      </c>
      <c r="C19" s="17">
        <v>0</v>
      </c>
      <c r="D19" s="17">
        <v>665909</v>
      </c>
      <c r="E19" s="17">
        <v>665909</v>
      </c>
      <c r="F19" s="22" t="s">
        <v>188</v>
      </c>
      <c r="G19" s="18">
        <f>IF(AND(F65&lt;&gt;0,0&lt;&gt;0),IF(100*0/(F65-0)&lt;0.005,"*",100*0/(F65-0)),0)</f>
        <v>0</v>
      </c>
    </row>
    <row r="20" spans="1:7" ht="15" x14ac:dyDescent="0.2">
      <c r="A20" s="11" t="s">
        <v>125</v>
      </c>
      <c r="B20" s="17">
        <v>257161</v>
      </c>
      <c r="C20" s="17">
        <v>0</v>
      </c>
      <c r="D20" s="17">
        <v>264855</v>
      </c>
      <c r="E20" s="17">
        <v>264855</v>
      </c>
      <c r="F20" s="22" t="s">
        <v>188</v>
      </c>
      <c r="G20" s="18">
        <f>IF(AND(F65&lt;&gt;0,0&lt;&gt;0),IF(100*0/(F65-0)&lt;0.005,"*",100*0/(F65-0)),0)</f>
        <v>0</v>
      </c>
    </row>
    <row r="21" spans="1:7" ht="15" x14ac:dyDescent="0.2">
      <c r="A21" s="11" t="s">
        <v>126</v>
      </c>
      <c r="B21" s="17">
        <v>87956</v>
      </c>
      <c r="C21" s="17">
        <v>0</v>
      </c>
      <c r="D21" s="17">
        <v>102841</v>
      </c>
      <c r="E21" s="17">
        <v>102841</v>
      </c>
      <c r="F21" s="22" t="s">
        <v>188</v>
      </c>
      <c r="G21" s="18">
        <f>IF(AND(F65&lt;&gt;0,0&lt;&gt;0),IF(100*0/(F65-0)&lt;0.005,"*",100*0/(F65-0)),0)</f>
        <v>0</v>
      </c>
    </row>
    <row r="22" spans="1:7" ht="15" x14ac:dyDescent="0.2">
      <c r="A22" s="11" t="s">
        <v>127</v>
      </c>
      <c r="B22" s="17">
        <v>100955</v>
      </c>
      <c r="C22" s="17">
        <v>0</v>
      </c>
      <c r="D22" s="17">
        <v>109913</v>
      </c>
      <c r="E22" s="17">
        <v>109913</v>
      </c>
      <c r="F22" s="22" t="s">
        <v>188</v>
      </c>
      <c r="G22" s="18">
        <f>IF(AND(F65&lt;&gt;0,0&lt;&gt;0),IF(100*0/(F65-0)&lt;0.005,"*",100*0/(F65-0)),0)</f>
        <v>0</v>
      </c>
    </row>
    <row r="23" spans="1:7" ht="15" x14ac:dyDescent="0.2">
      <c r="A23" s="11" t="s">
        <v>128</v>
      </c>
      <c r="B23" s="17">
        <v>231667</v>
      </c>
      <c r="C23" s="17">
        <v>0</v>
      </c>
      <c r="D23" s="17">
        <v>266720</v>
      </c>
      <c r="E23" s="17">
        <v>266720</v>
      </c>
      <c r="F23" s="22" t="s">
        <v>188</v>
      </c>
      <c r="G23" s="18">
        <f>IF(AND(F65&lt;&gt;0,0&lt;&gt;0),IF(100*0/(F65-0)&lt;0.005,"*",100*0/(F65-0)),0)</f>
        <v>0</v>
      </c>
    </row>
    <row r="24" spans="1:7" ht="15" x14ac:dyDescent="0.2">
      <c r="A24" s="11" t="s">
        <v>129</v>
      </c>
      <c r="B24" s="17">
        <v>341692</v>
      </c>
      <c r="C24" s="17">
        <v>0</v>
      </c>
      <c r="D24" s="17">
        <v>345069</v>
      </c>
      <c r="E24" s="17">
        <v>345069</v>
      </c>
      <c r="F24" s="22" t="s">
        <v>188</v>
      </c>
      <c r="G24" s="18">
        <f>IF(AND(F65&lt;&gt;0,0&lt;&gt;0),IF(100*0/(F65-0)&lt;0.005,"*",100*0/(F65-0)),0)</f>
        <v>0</v>
      </c>
    </row>
    <row r="25" spans="1:7" ht="15" x14ac:dyDescent="0.2">
      <c r="A25" s="11" t="s">
        <v>130</v>
      </c>
      <c r="B25" s="17">
        <v>53336</v>
      </c>
      <c r="C25" s="17">
        <v>0</v>
      </c>
      <c r="D25" s="17">
        <v>55215</v>
      </c>
      <c r="E25" s="17">
        <v>55215</v>
      </c>
      <c r="F25" s="22" t="s">
        <v>188</v>
      </c>
      <c r="G25" s="18">
        <f>IF(AND(F65&lt;&gt;0,0&lt;&gt;0),IF(100*0/(F65-0)&lt;0.005,"*",100*0/(F65-0)),0)</f>
        <v>0</v>
      </c>
    </row>
    <row r="26" spans="1:7" ht="15" x14ac:dyDescent="0.2">
      <c r="A26" s="11" t="s">
        <v>131</v>
      </c>
      <c r="B26" s="17">
        <v>242109</v>
      </c>
      <c r="C26" s="17">
        <v>0</v>
      </c>
      <c r="D26" s="17">
        <v>253690</v>
      </c>
      <c r="E26" s="17">
        <v>253690</v>
      </c>
      <c r="F26" s="22" t="s">
        <v>188</v>
      </c>
      <c r="G26" s="18">
        <f>IF(AND(F65&lt;&gt;0,0&lt;&gt;0),IF(100*0/(F65-0)&lt;0.005,"*",100*0/(F65-0)),0)</f>
        <v>0</v>
      </c>
    </row>
    <row r="27" spans="1:7" ht="15" x14ac:dyDescent="0.2">
      <c r="A27" s="11" t="s">
        <v>132</v>
      </c>
      <c r="B27" s="17">
        <v>252965</v>
      </c>
      <c r="C27" s="17">
        <v>0</v>
      </c>
      <c r="D27" s="17">
        <v>243871</v>
      </c>
      <c r="E27" s="17">
        <v>243871</v>
      </c>
      <c r="F27" s="22" t="s">
        <v>188</v>
      </c>
      <c r="G27" s="18">
        <f>IF(AND(F65&lt;&gt;0,0&lt;&gt;0),IF(100*0/(F65-0)&lt;0.005,"*",100*0/(F65-0)),0)</f>
        <v>0</v>
      </c>
    </row>
    <row r="28" spans="1:7" ht="15" x14ac:dyDescent="0.2">
      <c r="A28" s="11" t="s">
        <v>133</v>
      </c>
      <c r="B28" s="17">
        <v>469889</v>
      </c>
      <c r="C28" s="17">
        <v>0</v>
      </c>
      <c r="D28" s="17">
        <v>494115</v>
      </c>
      <c r="E28" s="17">
        <v>494115</v>
      </c>
      <c r="F28" s="22" t="s">
        <v>188</v>
      </c>
      <c r="G28" s="18">
        <f>IF(AND(F65&lt;&gt;0,0&lt;&gt;0),IF(100*0/(F65-0)&lt;0.005,"*",100*0/(F65-0)),0)</f>
        <v>0</v>
      </c>
    </row>
    <row r="29" spans="1:7" ht="15" x14ac:dyDescent="0.2">
      <c r="A29" s="11" t="s">
        <v>134</v>
      </c>
      <c r="B29" s="17">
        <v>166981</v>
      </c>
      <c r="C29" s="17">
        <v>0</v>
      </c>
      <c r="D29" s="17">
        <v>173378</v>
      </c>
      <c r="E29" s="17">
        <v>173378</v>
      </c>
      <c r="F29" s="22" t="s">
        <v>188</v>
      </c>
      <c r="G29" s="18">
        <f>IF(AND(F65&lt;&gt;0,0&lt;&gt;0),IF(100*0/(F65-0)&lt;0.005,"*",100*0/(F65-0)),0)</f>
        <v>0</v>
      </c>
    </row>
    <row r="30" spans="1:7" ht="15" x14ac:dyDescent="0.2">
      <c r="A30" s="11" t="s">
        <v>135</v>
      </c>
      <c r="B30" s="17">
        <v>205452</v>
      </c>
      <c r="C30" s="17">
        <v>0</v>
      </c>
      <c r="D30" s="17">
        <v>212689</v>
      </c>
      <c r="E30" s="17">
        <v>212689</v>
      </c>
      <c r="F30" s="22" t="s">
        <v>188</v>
      </c>
      <c r="G30" s="18">
        <f>IF(AND(F65&lt;&gt;0,0&lt;&gt;0),IF(100*0/(F65-0)&lt;0.005,"*",100*0/(F65-0)),0)</f>
        <v>0</v>
      </c>
    </row>
    <row r="31" spans="1:7" ht="15" x14ac:dyDescent="0.2">
      <c r="A31" s="11" t="s">
        <v>136</v>
      </c>
      <c r="B31" s="17">
        <v>248761</v>
      </c>
      <c r="C31" s="17">
        <v>0</v>
      </c>
      <c r="D31" s="17">
        <v>258910</v>
      </c>
      <c r="E31" s="17">
        <v>258910</v>
      </c>
      <c r="F31" s="22" t="s">
        <v>188</v>
      </c>
      <c r="G31" s="18">
        <f>IF(AND(F65&lt;&gt;0,0&lt;&gt;0),IF(100*0/(F65-0)&lt;0.005,"*",100*0/(F65-0)),0)</f>
        <v>0</v>
      </c>
    </row>
    <row r="32" spans="1:7" ht="15" x14ac:dyDescent="0.2">
      <c r="A32" s="11" t="s">
        <v>137</v>
      </c>
      <c r="B32" s="17">
        <v>48946</v>
      </c>
      <c r="C32" s="17">
        <v>0</v>
      </c>
      <c r="D32" s="17">
        <v>50504</v>
      </c>
      <c r="E32" s="17">
        <v>50504</v>
      </c>
      <c r="F32" s="22" t="s">
        <v>188</v>
      </c>
      <c r="G32" s="18">
        <f>IF(AND(F65&lt;&gt;0,0&lt;&gt;0),IF(100*0/(F65-0)&lt;0.005,"*",100*0/(F65-0)),0)</f>
        <v>0</v>
      </c>
    </row>
    <row r="33" spans="1:7" ht="15" x14ac:dyDescent="0.2">
      <c r="A33" s="11" t="s">
        <v>138</v>
      </c>
      <c r="B33" s="17">
        <v>77333</v>
      </c>
      <c r="C33" s="17">
        <v>0</v>
      </c>
      <c r="D33" s="17">
        <v>74694</v>
      </c>
      <c r="E33" s="17">
        <v>74694</v>
      </c>
      <c r="F33" s="22" t="s">
        <v>188</v>
      </c>
      <c r="G33" s="18">
        <f>IF(AND(F65&lt;&gt;0,0&lt;&gt;0),IF(100*0/(F65-0)&lt;0.005,"*",100*0/(F65-0)),0)</f>
        <v>0</v>
      </c>
    </row>
    <row r="34" spans="1:7" ht="15" x14ac:dyDescent="0.2">
      <c r="A34" s="11" t="s">
        <v>139</v>
      </c>
      <c r="B34" s="17">
        <v>136383</v>
      </c>
      <c r="C34" s="17">
        <v>0</v>
      </c>
      <c r="D34" s="17">
        <v>138969</v>
      </c>
      <c r="E34" s="17">
        <v>138969</v>
      </c>
      <c r="F34" s="22" t="s">
        <v>188</v>
      </c>
      <c r="G34" s="18">
        <f>IF(AND(F65&lt;&gt;0,0&lt;&gt;0),IF(100*0/(F65-0)&lt;0.005,"*",100*0/(F65-0)),0)</f>
        <v>0</v>
      </c>
    </row>
    <row r="35" spans="1:7" ht="15" x14ac:dyDescent="0.2">
      <c r="A35" s="11" t="s">
        <v>140</v>
      </c>
      <c r="B35" s="17">
        <v>44616</v>
      </c>
      <c r="C35" s="17">
        <v>0</v>
      </c>
      <c r="D35" s="17">
        <v>46125</v>
      </c>
      <c r="E35" s="17">
        <v>46125</v>
      </c>
      <c r="F35" s="22" t="s">
        <v>188</v>
      </c>
      <c r="G35" s="18">
        <f>IF(AND(F65&lt;&gt;0,0&lt;&gt;0),IF(100*0/(F65-0)&lt;0.005,"*",100*0/(F65-0)),0)</f>
        <v>0</v>
      </c>
    </row>
    <row r="36" spans="1:7" ht="15" x14ac:dyDescent="0.2">
      <c r="A36" s="11" t="s">
        <v>141</v>
      </c>
      <c r="B36" s="17">
        <v>366132</v>
      </c>
      <c r="C36" s="17">
        <v>0</v>
      </c>
      <c r="D36" s="17">
        <v>369115</v>
      </c>
      <c r="E36" s="17">
        <v>369115</v>
      </c>
      <c r="F36" s="22" t="s">
        <v>188</v>
      </c>
      <c r="G36" s="18">
        <f>IF(AND(F65&lt;&gt;0,0&lt;&gt;0),IF(100*0/(F65-0)&lt;0.005,"*",100*0/(F65-0)),0)</f>
        <v>0</v>
      </c>
    </row>
    <row r="37" spans="1:7" ht="15" x14ac:dyDescent="0.2">
      <c r="A37" s="11" t="s">
        <v>142</v>
      </c>
      <c r="B37" s="17">
        <v>129745</v>
      </c>
      <c r="C37" s="17">
        <v>0</v>
      </c>
      <c r="D37" s="17">
        <v>130618</v>
      </c>
      <c r="E37" s="17">
        <v>130618</v>
      </c>
      <c r="F37" s="22" t="s">
        <v>188</v>
      </c>
      <c r="G37" s="18">
        <f>IF(AND(F65&lt;&gt;0,0&lt;&gt;0),IF(100*0/(F65-0)&lt;0.005,"*",100*0/(F65-0)),0)</f>
        <v>0</v>
      </c>
    </row>
    <row r="38" spans="1:7" ht="15" x14ac:dyDescent="0.2">
      <c r="A38" s="11" t="s">
        <v>143</v>
      </c>
      <c r="B38" s="17">
        <v>1219497</v>
      </c>
      <c r="C38" s="17">
        <v>0</v>
      </c>
      <c r="D38" s="17">
        <v>1197143</v>
      </c>
      <c r="E38" s="17">
        <v>1197143</v>
      </c>
      <c r="F38" s="22" t="s">
        <v>188</v>
      </c>
      <c r="G38" s="18">
        <f>IF(AND(F65&lt;&gt;0,0&lt;&gt;0),IF(100*0/(F65-0)&lt;0.005,"*",100*0/(F65-0)),0)</f>
        <v>0</v>
      </c>
    </row>
    <row r="39" spans="1:7" ht="15" x14ac:dyDescent="0.2">
      <c r="A39" s="11" t="s">
        <v>144</v>
      </c>
      <c r="B39" s="17">
        <v>466200</v>
      </c>
      <c r="C39" s="17">
        <v>0</v>
      </c>
      <c r="D39" s="17">
        <v>475605</v>
      </c>
      <c r="E39" s="17">
        <v>475605</v>
      </c>
      <c r="F39" s="22" t="s">
        <v>188</v>
      </c>
      <c r="G39" s="18">
        <f>IF(AND(F65&lt;&gt;0,0&lt;&gt;0),IF(100*0/(F65-0)&lt;0.005,"*",100*0/(F65-0)),0)</f>
        <v>0</v>
      </c>
    </row>
    <row r="40" spans="1:7" ht="15" x14ac:dyDescent="0.2">
      <c r="A40" s="11" t="s">
        <v>145</v>
      </c>
      <c r="B40" s="17">
        <v>39467</v>
      </c>
      <c r="C40" s="17">
        <v>0</v>
      </c>
      <c r="D40" s="17">
        <v>40347</v>
      </c>
      <c r="E40" s="17">
        <v>40347</v>
      </c>
      <c r="F40" s="22" t="s">
        <v>188</v>
      </c>
      <c r="G40" s="18">
        <f>IF(AND(F65&lt;&gt;0,0&lt;&gt;0),IF(100*0/(F65-0)&lt;0.005,"*",100*0/(F65-0)),0)</f>
        <v>0</v>
      </c>
    </row>
    <row r="41" spans="1:7" ht="15" x14ac:dyDescent="0.2">
      <c r="A41" s="11" t="s">
        <v>146</v>
      </c>
      <c r="B41" s="17">
        <v>581146</v>
      </c>
      <c r="C41" s="17">
        <v>0</v>
      </c>
      <c r="D41" s="17">
        <v>592541</v>
      </c>
      <c r="E41" s="17">
        <v>592541</v>
      </c>
      <c r="F41" s="22" t="s">
        <v>188</v>
      </c>
      <c r="G41" s="18">
        <f>IF(AND(F65&lt;&gt;0,0&lt;&gt;0),IF(100*0/(F65-0)&lt;0.005,"*",100*0/(F65-0)),0)</f>
        <v>0</v>
      </c>
    </row>
    <row r="42" spans="1:7" ht="15" x14ac:dyDescent="0.2">
      <c r="A42" s="11" t="s">
        <v>147</v>
      </c>
      <c r="B42" s="17">
        <v>190662</v>
      </c>
      <c r="C42" s="17">
        <v>0</v>
      </c>
      <c r="D42" s="17">
        <v>200023</v>
      </c>
      <c r="E42" s="17">
        <v>200023</v>
      </c>
      <c r="F42" s="22" t="s">
        <v>188</v>
      </c>
      <c r="G42" s="18">
        <f>IF(AND(F65&lt;&gt;0,0&lt;&gt;0),IF(100*0/(F65-0)&lt;0.005,"*",100*0/(F65-0)),0)</f>
        <v>0</v>
      </c>
    </row>
    <row r="43" spans="1:7" ht="15" x14ac:dyDescent="0.2">
      <c r="A43" s="11" t="s">
        <v>148</v>
      </c>
      <c r="B43" s="17">
        <v>145184</v>
      </c>
      <c r="C43" s="17">
        <v>0</v>
      </c>
      <c r="D43" s="17">
        <v>150325</v>
      </c>
      <c r="E43" s="17">
        <v>150325</v>
      </c>
      <c r="F43" s="22" t="s">
        <v>188</v>
      </c>
      <c r="G43" s="18">
        <f>IF(AND(F65&lt;&gt;0,0&lt;&gt;0),IF(100*0/(F65-0)&lt;0.005,"*",100*0/(F65-0)),0)</f>
        <v>0</v>
      </c>
    </row>
    <row r="44" spans="1:7" ht="15" x14ac:dyDescent="0.2">
      <c r="A44" s="11" t="s">
        <v>149</v>
      </c>
      <c r="B44" s="17">
        <v>630162</v>
      </c>
      <c r="C44" s="17">
        <v>0</v>
      </c>
      <c r="D44" s="17">
        <v>663422</v>
      </c>
      <c r="E44" s="17">
        <v>663422</v>
      </c>
      <c r="F44" s="22" t="s">
        <v>188</v>
      </c>
      <c r="G44" s="18">
        <f>IF(AND(F65&lt;&gt;0,0&lt;&gt;0),IF(100*0/(F65-0)&lt;0.005,"*",100*0/(F65-0)),0)</f>
        <v>0</v>
      </c>
    </row>
    <row r="45" spans="1:7" ht="15" x14ac:dyDescent="0.2">
      <c r="A45" s="11" t="s">
        <v>150</v>
      </c>
      <c r="B45" s="17">
        <v>54762</v>
      </c>
      <c r="C45" s="17">
        <v>0</v>
      </c>
      <c r="D45" s="17">
        <v>55673</v>
      </c>
      <c r="E45" s="17">
        <v>55673</v>
      </c>
      <c r="F45" s="22" t="s">
        <v>188</v>
      </c>
      <c r="G45" s="18">
        <f>IF(AND(F65&lt;&gt;0,0&lt;&gt;0),IF(100*0/(F65-0)&lt;0.005,"*",100*0/(F65-0)),0)</f>
        <v>0</v>
      </c>
    </row>
    <row r="46" spans="1:7" ht="15" x14ac:dyDescent="0.2">
      <c r="A46" s="11" t="s">
        <v>151</v>
      </c>
      <c r="B46" s="17">
        <v>255374</v>
      </c>
      <c r="C46" s="17">
        <v>0</v>
      </c>
      <c r="D46" s="17">
        <v>276252</v>
      </c>
      <c r="E46" s="17">
        <v>276252</v>
      </c>
      <c r="F46" s="22" t="s">
        <v>188</v>
      </c>
      <c r="G46" s="18">
        <f>IF(AND(F65&lt;&gt;0,0&lt;&gt;0),IF(100*0/(F65-0)&lt;0.005,"*",100*0/(F65-0)),0)</f>
        <v>0</v>
      </c>
    </row>
    <row r="47" spans="1:7" ht="15" x14ac:dyDescent="0.2">
      <c r="A47" s="11" t="s">
        <v>152</v>
      </c>
      <c r="B47" s="17">
        <v>48946</v>
      </c>
      <c r="C47" s="17">
        <v>0</v>
      </c>
      <c r="D47" s="17">
        <v>50504</v>
      </c>
      <c r="E47" s="17">
        <v>50504</v>
      </c>
      <c r="F47" s="22" t="s">
        <v>188</v>
      </c>
      <c r="G47" s="18">
        <f>IF(AND(F65&lt;&gt;0,0&lt;&gt;0),IF(100*0/(F65-0)&lt;0.005,"*",100*0/(F65-0)),0)</f>
        <v>0</v>
      </c>
    </row>
    <row r="48" spans="1:7" ht="15" x14ac:dyDescent="0.2">
      <c r="A48" s="11" t="s">
        <v>153</v>
      </c>
      <c r="B48" s="17">
        <v>308799</v>
      </c>
      <c r="C48" s="17">
        <v>0</v>
      </c>
      <c r="D48" s="17">
        <v>328294</v>
      </c>
      <c r="E48" s="17">
        <v>328294</v>
      </c>
      <c r="F48" s="22" t="s">
        <v>188</v>
      </c>
      <c r="G48" s="18">
        <f>IF(AND(F65&lt;&gt;0,0&lt;&gt;0),IF(100*0/(F65-0)&lt;0.005,"*",100*0/(F65-0)),0)</f>
        <v>0</v>
      </c>
    </row>
    <row r="49" spans="1:7" ht="15" x14ac:dyDescent="0.2">
      <c r="A49" s="11" t="s">
        <v>154</v>
      </c>
      <c r="B49" s="17">
        <v>1512298</v>
      </c>
      <c r="C49" s="17">
        <v>0</v>
      </c>
      <c r="D49" s="17">
        <v>1628805</v>
      </c>
      <c r="E49" s="17">
        <v>1628805</v>
      </c>
      <c r="F49" s="22" t="s">
        <v>188</v>
      </c>
      <c r="G49" s="18">
        <f>IF(AND(F65&lt;&gt;0,0&lt;&gt;0),IF(100*0/(F65-0)&lt;0.005,"*",100*0/(F65-0)),0)</f>
        <v>0</v>
      </c>
    </row>
    <row r="50" spans="1:7" ht="15" x14ac:dyDescent="0.2">
      <c r="A50" s="11" t="s">
        <v>155</v>
      </c>
      <c r="B50" s="17">
        <v>81619</v>
      </c>
      <c r="C50" s="17">
        <v>0</v>
      </c>
      <c r="D50" s="17">
        <v>81915</v>
      </c>
      <c r="E50" s="17">
        <v>81915</v>
      </c>
      <c r="F50" s="22" t="s">
        <v>188</v>
      </c>
      <c r="G50" s="18">
        <f>IF(AND(F65&lt;&gt;0,0&lt;&gt;0),IF(100*0/(F65-0)&lt;0.005,"*",100*0/(F65-0)),0)</f>
        <v>0</v>
      </c>
    </row>
    <row r="51" spans="1:7" ht="15" x14ac:dyDescent="0.2">
      <c r="A51" s="11" t="s">
        <v>156</v>
      </c>
      <c r="B51" s="17">
        <v>36920</v>
      </c>
      <c r="C51" s="17">
        <v>0</v>
      </c>
      <c r="D51" s="17">
        <v>37853</v>
      </c>
      <c r="E51" s="17">
        <v>37853</v>
      </c>
      <c r="F51" s="22" t="s">
        <v>188</v>
      </c>
      <c r="G51" s="18">
        <f>IF(AND(F65&lt;&gt;0,0&lt;&gt;0),IF(100*0/(F65-0)&lt;0.005,"*",100*0/(F65-0)),0)</f>
        <v>0</v>
      </c>
    </row>
    <row r="52" spans="1:7" ht="15" x14ac:dyDescent="0.2">
      <c r="A52" s="11" t="s">
        <v>157</v>
      </c>
      <c r="B52" s="17">
        <v>279166</v>
      </c>
      <c r="C52" s="17">
        <v>0</v>
      </c>
      <c r="D52" s="17">
        <v>276448</v>
      </c>
      <c r="E52" s="17">
        <v>276448</v>
      </c>
      <c r="F52" s="22" t="s">
        <v>188</v>
      </c>
      <c r="G52" s="18">
        <f>IF(AND(F65&lt;&gt;0,0&lt;&gt;0),IF(100*0/(F65-0)&lt;0.005,"*",100*0/(F65-0)),0)</f>
        <v>0</v>
      </c>
    </row>
    <row r="53" spans="1:7" ht="15" x14ac:dyDescent="0.2">
      <c r="A53" s="11" t="s">
        <v>158</v>
      </c>
      <c r="B53" s="17">
        <v>256762</v>
      </c>
      <c r="C53" s="17">
        <v>0</v>
      </c>
      <c r="D53" s="17">
        <v>250009</v>
      </c>
      <c r="E53" s="17">
        <v>250009</v>
      </c>
      <c r="F53" s="22" t="s">
        <v>188</v>
      </c>
      <c r="G53" s="18">
        <f>IF(AND(F65&lt;&gt;0,0&lt;&gt;0),IF(100*0/(F65-0)&lt;0.005,"*",100*0/(F65-0)),0)</f>
        <v>0</v>
      </c>
    </row>
    <row r="54" spans="1:7" ht="15" x14ac:dyDescent="0.2">
      <c r="A54" s="11" t="s">
        <v>159</v>
      </c>
      <c r="B54" s="17">
        <v>101309</v>
      </c>
      <c r="C54" s="17">
        <v>0</v>
      </c>
      <c r="D54" s="17">
        <v>101134</v>
      </c>
      <c r="E54" s="17">
        <v>101134</v>
      </c>
      <c r="F54" s="22" t="s">
        <v>188</v>
      </c>
      <c r="G54" s="18">
        <f>IF(AND(F65&lt;&gt;0,0&lt;&gt;0),IF(100*0/(F65-0)&lt;0.005,"*",100*0/(F65-0)),0)</f>
        <v>0</v>
      </c>
    </row>
    <row r="55" spans="1:7" ht="15" x14ac:dyDescent="0.2">
      <c r="A55" s="11" t="s">
        <v>160</v>
      </c>
      <c r="B55" s="17">
        <v>207563</v>
      </c>
      <c r="C55" s="17">
        <v>0</v>
      </c>
      <c r="D55" s="17">
        <v>206974</v>
      </c>
      <c r="E55" s="17">
        <v>206974</v>
      </c>
      <c r="F55" s="22" t="s">
        <v>188</v>
      </c>
      <c r="G55" s="18">
        <f>IF(AND(F65&lt;&gt;0,0&lt;&gt;0),IF(100*0/(F65-0)&lt;0.005,"*",100*0/(F65-0)),0)</f>
        <v>0</v>
      </c>
    </row>
    <row r="56" spans="1:7" ht="15" x14ac:dyDescent="0.2">
      <c r="A56" s="11" t="s">
        <v>161</v>
      </c>
      <c r="B56" s="17">
        <v>38596</v>
      </c>
      <c r="C56" s="17">
        <v>0</v>
      </c>
      <c r="D56" s="17">
        <v>40125</v>
      </c>
      <c r="E56" s="17">
        <v>40125</v>
      </c>
      <c r="F56" s="22" t="s">
        <v>188</v>
      </c>
      <c r="G56" s="18">
        <f>IF(AND(F65&lt;&gt;0,0&lt;&gt;0),IF(100*0/(F65-0)&lt;0.005,"*",100*0/(F65-0)),0)</f>
        <v>0</v>
      </c>
    </row>
    <row r="57" spans="1:7" ht="15" x14ac:dyDescent="0.2">
      <c r="A57" s="11" t="s">
        <v>162</v>
      </c>
      <c r="B57" s="17">
        <v>19447</v>
      </c>
      <c r="C57" s="17">
        <v>0</v>
      </c>
      <c r="D57" s="17">
        <v>20008</v>
      </c>
      <c r="E57" s="17">
        <v>20008</v>
      </c>
      <c r="F57" s="22" t="s">
        <v>188</v>
      </c>
      <c r="G57" s="18">
        <f>IF(AND(F65&lt;&gt;0,0&lt;&gt;0),IF(100*0/(F65-0)&lt;0.005,"*",100*0/(F65-0)),0)</f>
        <v>0</v>
      </c>
    </row>
    <row r="58" spans="1:7" ht="15" x14ac:dyDescent="0.2">
      <c r="A58" s="11" t="s">
        <v>163</v>
      </c>
      <c r="B58" s="17">
        <v>21071</v>
      </c>
      <c r="C58" s="17">
        <v>0</v>
      </c>
      <c r="D58" s="17">
        <v>21679</v>
      </c>
      <c r="E58" s="17">
        <v>21679</v>
      </c>
      <c r="F58" s="22" t="s">
        <v>188</v>
      </c>
      <c r="G58" s="18">
        <f>IF(AND(F65&lt;&gt;0,0&lt;&gt;0),IF(100*0/(F65-0)&lt;0.005,"*",100*0/(F65-0)),0)</f>
        <v>0</v>
      </c>
    </row>
    <row r="59" spans="1:7" ht="15" x14ac:dyDescent="0.2">
      <c r="A59" s="11" t="s">
        <v>164</v>
      </c>
      <c r="B59" s="17">
        <v>11755</v>
      </c>
      <c r="C59" s="17">
        <v>0</v>
      </c>
      <c r="D59" s="17">
        <v>12094</v>
      </c>
      <c r="E59" s="17">
        <v>12094</v>
      </c>
      <c r="F59" s="22" t="s">
        <v>188</v>
      </c>
      <c r="G59" s="18">
        <f>IF(AND(F65&lt;&gt;0,0&lt;&gt;0),IF(100*0/(F65-0)&lt;0.005,"*",100*0/(F65-0)),0)</f>
        <v>0</v>
      </c>
    </row>
    <row r="60" spans="1:7" ht="15" x14ac:dyDescent="0.2">
      <c r="A60" s="11" t="s">
        <v>165</v>
      </c>
      <c r="B60" s="17">
        <v>405828</v>
      </c>
      <c r="C60" s="17">
        <v>0</v>
      </c>
      <c r="D60" s="17">
        <v>390742</v>
      </c>
      <c r="E60" s="17">
        <v>390742</v>
      </c>
      <c r="F60" s="22" t="s">
        <v>188</v>
      </c>
      <c r="G60" s="18">
        <f>IF(AND(F65&lt;&gt;0,0&lt;&gt;0),IF(100*0/(F65-0)&lt;0.005,"*",100*0/(F65-0)),0)</f>
        <v>0</v>
      </c>
    </row>
    <row r="61" spans="1:7" ht="15" x14ac:dyDescent="0.2">
      <c r="A61" s="11" t="s">
        <v>166</v>
      </c>
      <c r="B61" s="17">
        <v>1000</v>
      </c>
      <c r="C61" s="17">
        <v>0</v>
      </c>
      <c r="D61" s="17">
        <v>1000</v>
      </c>
      <c r="E61" s="17">
        <v>1000</v>
      </c>
      <c r="F61" s="22" t="s">
        <v>188</v>
      </c>
      <c r="G61" s="18">
        <f>IF(AND(F65&lt;&gt;0,0&lt;&gt;0),IF(100*0/(F65-0)&lt;0.005,"*",100*0/(F65-0)),0)</f>
        <v>0</v>
      </c>
    </row>
    <row r="62" spans="1:7" ht="15" x14ac:dyDescent="0.2">
      <c r="A62" s="11" t="s">
        <v>167</v>
      </c>
      <c r="B62" s="17">
        <v>10146</v>
      </c>
      <c r="C62" s="17">
        <v>0</v>
      </c>
      <c r="D62" s="17">
        <v>10438</v>
      </c>
      <c r="E62" s="17">
        <v>10438</v>
      </c>
      <c r="F62" s="22" t="s">
        <v>188</v>
      </c>
      <c r="G62" s="18">
        <f>IF(AND(F65&lt;&gt;0,0&lt;&gt;0),IF(100*0/(F65-0)&lt;0.005,"*",100*0/(F65-0)),0)</f>
        <v>0</v>
      </c>
    </row>
    <row r="63" spans="1:7" ht="15" x14ac:dyDescent="0.2">
      <c r="A63" s="11" t="s">
        <v>168</v>
      </c>
      <c r="B63" s="17">
        <v>110984</v>
      </c>
      <c r="C63" s="17">
        <v>0</v>
      </c>
      <c r="D63" s="17">
        <v>114134</v>
      </c>
      <c r="E63" s="17">
        <v>114134</v>
      </c>
      <c r="F63" s="22" t="s">
        <v>188</v>
      </c>
      <c r="G63" s="18">
        <f>IF(AND(F65&lt;&gt;0,0&lt;&gt;0),IF(100*0/(F65-0)&lt;0.005,"*",100*0/(F65-0)),0)</f>
        <v>0</v>
      </c>
    </row>
    <row r="64" spans="1:7" ht="15" x14ac:dyDescent="0.2">
      <c r="A64" s="11" t="s">
        <v>169</v>
      </c>
      <c r="B64" s="17">
        <v>5000</v>
      </c>
      <c r="C64" s="17">
        <v>0</v>
      </c>
      <c r="D64" s="17">
        <v>5000</v>
      </c>
      <c r="E64" s="17">
        <v>5000</v>
      </c>
      <c r="F64" s="22" t="s">
        <v>188</v>
      </c>
      <c r="G64" s="18">
        <v>0</v>
      </c>
    </row>
    <row r="65" spans="1:7" ht="15" customHeight="1" x14ac:dyDescent="0.2">
      <c r="A65" s="19" t="s">
        <v>110</v>
      </c>
      <c r="B65" s="20">
        <f>257319+45609+339128+157131+1963513+145897+131135+52114+49085+898113+538160+51230+58230+671396+257161+87956+100955+231667+341692+53336+242109+252965+469889+166981+205452+248761+48946+77333+136383+44616+366132+129745+1219497+466200+39467+581146+190662+145184+630162+54762+255374+48946+308799+1512298+81619+36920+279166+256762+101309+207563+38596+19447+21071+11755+405828+1000+10146+110984+5000+0</f>
        <v>15859802</v>
      </c>
      <c r="C65" s="20">
        <f>0+0+0+0+0+0+0+0+0+0+0+0+0+0+0+0+0+0+0+0+0+0+0+0+0+0+0+0+0+0+0+0+0+0+0+0+0+0+0+0+0+0+0+0+0+0+0+0+0+0+0+0+0+0+0+0+0+0+0+0</f>
        <v>0</v>
      </c>
      <c r="D65" s="20">
        <f>266757+47237+346165+166713+2001305+153676+144720+54692+50815+922111+557193+54140+58591+665909+264855+102841+109913+266720+345069+55215+253690+243871+494115+173378+212689+258910+50504+74694+138969+46125+369115+130618+1197143+475605+40347+592541+200023+150325+663422+55673+276252+50504+328294+1628805+81915+37853+276448+250009+101134+206974+40125+20008+21679+12094+390742+1000+10438+114134+5000+0</f>
        <v>16309802</v>
      </c>
      <c r="E65" s="20">
        <f>SUM(C65:D65)</f>
        <v>16309802</v>
      </c>
      <c r="F65" s="20">
        <f>0+0+0+0+0+0+0+0+0+0+0+0+0+0+0+0+0+0+0+0+0+0+0+0+0+0+0+0+0+0+0+0+0+0+0+0+0+0+0+0+0+0+0+0+0+0+0+0+0+0+0+0+0+0+0+0+0+0+0+0</f>
        <v>0</v>
      </c>
      <c r="G65" s="23" t="s">
        <v>189</v>
      </c>
    </row>
    <row r="66" spans="1:7" ht="15" customHeight="1" x14ac:dyDescent="0.2">
      <c r="A66" s="74" t="s">
        <v>171</v>
      </c>
      <c r="B66" s="74"/>
      <c r="C66" s="74"/>
      <c r="D66" s="74"/>
      <c r="E66" s="74"/>
      <c r="F66" s="74"/>
      <c r="G66" s="74"/>
    </row>
    <row r="67" spans="1:7" ht="30.75" customHeight="1" x14ac:dyDescent="0.2">
      <c r="A67" s="67" t="s">
        <v>190</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185</v>
      </c>
      <c r="B1" s="10"/>
      <c r="C1" s="10"/>
      <c r="D1" s="10"/>
      <c r="E1" s="10"/>
      <c r="F1" s="10"/>
      <c r="G1" s="12" t="s">
        <v>191</v>
      </c>
    </row>
    <row r="2" spans="1:7" x14ac:dyDescent="0.2">
      <c r="A2" s="13" t="s">
        <v>192</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ht="15" x14ac:dyDescent="0.2">
      <c r="A6" s="11" t="s">
        <v>111</v>
      </c>
      <c r="B6" s="17">
        <v>33628</v>
      </c>
      <c r="C6" s="17">
        <v>0</v>
      </c>
      <c r="D6" s="17">
        <v>35796</v>
      </c>
      <c r="E6" s="17">
        <v>35796</v>
      </c>
      <c r="F6" s="22" t="s">
        <v>188</v>
      </c>
      <c r="G6" s="18">
        <f>IF(AND(F65&lt;&gt;0,0&lt;&gt;0),IF(100*0/(F65-0)&lt;0.005,"*",100*0/(F65-0)),0)</f>
        <v>0</v>
      </c>
    </row>
    <row r="7" spans="1:7" ht="15" x14ac:dyDescent="0.2">
      <c r="A7" s="11" t="s">
        <v>112</v>
      </c>
      <c r="B7" s="17">
        <v>9857</v>
      </c>
      <c r="C7" s="17">
        <v>0</v>
      </c>
      <c r="D7" s="17">
        <v>10299</v>
      </c>
      <c r="E7" s="17">
        <v>10299</v>
      </c>
      <c r="F7" s="22" t="s">
        <v>188</v>
      </c>
      <c r="G7" s="18">
        <f>IF(AND(F65&lt;&gt;0,0&lt;&gt;0),IF(100*0/(F65-0)&lt;0.005,"*",100*0/(F65-0)),0)</f>
        <v>0</v>
      </c>
    </row>
    <row r="8" spans="1:7" ht="15" x14ac:dyDescent="0.2">
      <c r="A8" s="11" t="s">
        <v>113</v>
      </c>
      <c r="B8" s="17">
        <v>37200</v>
      </c>
      <c r="C8" s="17">
        <v>0</v>
      </c>
      <c r="D8" s="17">
        <v>41710</v>
      </c>
      <c r="E8" s="17">
        <v>41710</v>
      </c>
      <c r="F8" s="22" t="s">
        <v>188</v>
      </c>
      <c r="G8" s="18">
        <f>IF(AND(F65&lt;&gt;0,0&lt;&gt;0),IF(100*0/(F65-0)&lt;0.005,"*",100*0/(F65-0)),0)</f>
        <v>0</v>
      </c>
    </row>
    <row r="9" spans="1:7" ht="15" x14ac:dyDescent="0.2">
      <c r="A9" s="11" t="s">
        <v>114</v>
      </c>
      <c r="B9" s="17">
        <v>20277</v>
      </c>
      <c r="C9" s="17">
        <v>0</v>
      </c>
      <c r="D9" s="17">
        <v>22038</v>
      </c>
      <c r="E9" s="17">
        <v>22038</v>
      </c>
      <c r="F9" s="22" t="s">
        <v>188</v>
      </c>
      <c r="G9" s="18">
        <f>IF(AND(F65&lt;&gt;0,0&lt;&gt;0),IF(100*0/(F65-0)&lt;0.005,"*",100*0/(F65-0)),0)</f>
        <v>0</v>
      </c>
    </row>
    <row r="10" spans="1:7" ht="15" x14ac:dyDescent="0.2">
      <c r="A10" s="11" t="s">
        <v>115</v>
      </c>
      <c r="B10" s="17">
        <v>229490</v>
      </c>
      <c r="C10" s="17">
        <v>0</v>
      </c>
      <c r="D10" s="17">
        <v>238130</v>
      </c>
      <c r="E10" s="17">
        <v>238130</v>
      </c>
      <c r="F10" s="22" t="s">
        <v>188</v>
      </c>
      <c r="G10" s="18">
        <f>IF(AND(F65&lt;&gt;0,0&lt;&gt;0),IF(100*0/(F65-0)&lt;0.005,"*",100*0/(F65-0)),0)</f>
        <v>0</v>
      </c>
    </row>
    <row r="11" spans="1:7" ht="15" x14ac:dyDescent="0.2">
      <c r="A11" s="11" t="s">
        <v>116</v>
      </c>
      <c r="B11" s="17">
        <v>23292</v>
      </c>
      <c r="C11" s="17">
        <v>0</v>
      </c>
      <c r="D11" s="17">
        <v>24556</v>
      </c>
      <c r="E11" s="17">
        <v>24556</v>
      </c>
      <c r="F11" s="22" t="s">
        <v>188</v>
      </c>
      <c r="G11" s="18">
        <f>IF(AND(F65&lt;&gt;0,0&lt;&gt;0),IF(100*0/(F65-0)&lt;0.005,"*",100*0/(F65-0)),0)</f>
        <v>0</v>
      </c>
    </row>
    <row r="12" spans="1:7" ht="15" x14ac:dyDescent="0.2">
      <c r="A12" s="11" t="s">
        <v>117</v>
      </c>
      <c r="B12" s="17">
        <v>17930</v>
      </c>
      <c r="C12" s="17">
        <v>0</v>
      </c>
      <c r="D12" s="17">
        <v>18210</v>
      </c>
      <c r="E12" s="17">
        <v>18210</v>
      </c>
      <c r="F12" s="22" t="s">
        <v>188</v>
      </c>
      <c r="G12" s="18">
        <f>IF(AND(F65&lt;&gt;0,0&lt;&gt;0),IF(100*0/(F65-0)&lt;0.005,"*",100*0/(F65-0)),0)</f>
        <v>0</v>
      </c>
    </row>
    <row r="13" spans="1:7" ht="15" x14ac:dyDescent="0.2">
      <c r="A13" s="11" t="s">
        <v>118</v>
      </c>
      <c r="B13" s="17">
        <v>9857</v>
      </c>
      <c r="C13" s="17">
        <v>0</v>
      </c>
      <c r="D13" s="17">
        <v>10299</v>
      </c>
      <c r="E13" s="17">
        <v>10299</v>
      </c>
      <c r="F13" s="22" t="s">
        <v>188</v>
      </c>
      <c r="G13" s="18">
        <f>IF(AND(F65&lt;&gt;0,0&lt;&gt;0),IF(100*0/(F65-0)&lt;0.005,"*",100*0/(F65-0)),0)</f>
        <v>0</v>
      </c>
    </row>
    <row r="14" spans="1:7" ht="15" x14ac:dyDescent="0.2">
      <c r="A14" s="11" t="s">
        <v>119</v>
      </c>
      <c r="B14" s="17">
        <v>9857</v>
      </c>
      <c r="C14" s="17">
        <v>0</v>
      </c>
      <c r="D14" s="17">
        <v>10299</v>
      </c>
      <c r="E14" s="17">
        <v>10299</v>
      </c>
      <c r="F14" s="22" t="s">
        <v>188</v>
      </c>
      <c r="G14" s="18">
        <f>IF(AND(F65&lt;&gt;0,0&lt;&gt;0),IF(100*0/(F65-0)&lt;0.005,"*",100*0/(F65-0)),0)</f>
        <v>0</v>
      </c>
    </row>
    <row r="15" spans="1:7" ht="15" x14ac:dyDescent="0.2">
      <c r="A15" s="11" t="s">
        <v>120</v>
      </c>
      <c r="B15" s="17">
        <v>102439</v>
      </c>
      <c r="C15" s="17">
        <v>0</v>
      </c>
      <c r="D15" s="17">
        <v>110864</v>
      </c>
      <c r="E15" s="17">
        <v>110864</v>
      </c>
      <c r="F15" s="22" t="s">
        <v>188</v>
      </c>
      <c r="G15" s="18">
        <f>IF(AND(F65&lt;&gt;0,0&lt;&gt;0),IF(100*0/(F65-0)&lt;0.005,"*",100*0/(F65-0)),0)</f>
        <v>0</v>
      </c>
    </row>
    <row r="16" spans="1:7" ht="15" x14ac:dyDescent="0.2">
      <c r="A16" s="11" t="s">
        <v>121</v>
      </c>
      <c r="B16" s="17">
        <v>61190</v>
      </c>
      <c r="C16" s="17">
        <v>0</v>
      </c>
      <c r="D16" s="17">
        <v>67424</v>
      </c>
      <c r="E16" s="17">
        <v>67424</v>
      </c>
      <c r="F16" s="22" t="s">
        <v>188</v>
      </c>
      <c r="G16" s="18">
        <f>IF(AND(F65&lt;&gt;0,0&lt;&gt;0),IF(100*0/(F65-0)&lt;0.005,"*",100*0/(F65-0)),0)</f>
        <v>0</v>
      </c>
    </row>
    <row r="17" spans="1:7" ht="15" x14ac:dyDescent="0.2">
      <c r="A17" s="11" t="s">
        <v>122</v>
      </c>
      <c r="B17" s="17">
        <v>9857</v>
      </c>
      <c r="C17" s="17">
        <v>0</v>
      </c>
      <c r="D17" s="17">
        <v>10299</v>
      </c>
      <c r="E17" s="17">
        <v>10299</v>
      </c>
      <c r="F17" s="22" t="s">
        <v>188</v>
      </c>
      <c r="G17" s="18">
        <f>IF(AND(F65&lt;&gt;0,0&lt;&gt;0),IF(100*0/(F65-0)&lt;0.005,"*",100*0/(F65-0)),0)</f>
        <v>0</v>
      </c>
    </row>
    <row r="18" spans="1:7" ht="15" x14ac:dyDescent="0.2">
      <c r="A18" s="11" t="s">
        <v>123</v>
      </c>
      <c r="B18" s="17">
        <v>9857</v>
      </c>
      <c r="C18" s="17">
        <v>0</v>
      </c>
      <c r="D18" s="17">
        <v>10299</v>
      </c>
      <c r="E18" s="17">
        <v>10299</v>
      </c>
      <c r="F18" s="22" t="s">
        <v>188</v>
      </c>
      <c r="G18" s="18">
        <f>IF(AND(F65&lt;&gt;0,0&lt;&gt;0),IF(100*0/(F65-0)&lt;0.005,"*",100*0/(F65-0)),0)</f>
        <v>0</v>
      </c>
    </row>
    <row r="19" spans="1:7" ht="15" x14ac:dyDescent="0.2">
      <c r="A19" s="11" t="s">
        <v>124</v>
      </c>
      <c r="B19" s="17">
        <v>79034</v>
      </c>
      <c r="C19" s="17">
        <v>0</v>
      </c>
      <c r="D19" s="17">
        <v>78267</v>
      </c>
      <c r="E19" s="17">
        <v>78267</v>
      </c>
      <c r="F19" s="22" t="s">
        <v>188</v>
      </c>
      <c r="G19" s="18">
        <f>IF(AND(F65&lt;&gt;0,0&lt;&gt;0),IF(100*0/(F65-0)&lt;0.005,"*",100*0/(F65-0)),0)</f>
        <v>0</v>
      </c>
    </row>
    <row r="20" spans="1:7" ht="15" x14ac:dyDescent="0.2">
      <c r="A20" s="11" t="s">
        <v>125</v>
      </c>
      <c r="B20" s="17">
        <v>36200</v>
      </c>
      <c r="C20" s="17">
        <v>0</v>
      </c>
      <c r="D20" s="17">
        <v>38397</v>
      </c>
      <c r="E20" s="17">
        <v>38397</v>
      </c>
      <c r="F20" s="22" t="s">
        <v>188</v>
      </c>
      <c r="G20" s="18">
        <f>IF(AND(F65&lt;&gt;0,0&lt;&gt;0),IF(100*0/(F65-0)&lt;0.005,"*",100*0/(F65-0)),0)</f>
        <v>0</v>
      </c>
    </row>
    <row r="21" spans="1:7" ht="15" x14ac:dyDescent="0.2">
      <c r="A21" s="11" t="s">
        <v>126</v>
      </c>
      <c r="B21" s="17">
        <v>15088</v>
      </c>
      <c r="C21" s="17">
        <v>0</v>
      </c>
      <c r="D21" s="17">
        <v>15954</v>
      </c>
      <c r="E21" s="17">
        <v>15954</v>
      </c>
      <c r="F21" s="22" t="s">
        <v>188</v>
      </c>
      <c r="G21" s="18">
        <f>IF(AND(F65&lt;&gt;0,0&lt;&gt;0),IF(100*0/(F65-0)&lt;0.005,"*",100*0/(F65-0)),0)</f>
        <v>0</v>
      </c>
    </row>
    <row r="22" spans="1:7" ht="15" x14ac:dyDescent="0.2">
      <c r="A22" s="11" t="s">
        <v>127</v>
      </c>
      <c r="B22" s="17">
        <v>15906</v>
      </c>
      <c r="C22" s="17">
        <v>0</v>
      </c>
      <c r="D22" s="17">
        <v>16354</v>
      </c>
      <c r="E22" s="17">
        <v>16354</v>
      </c>
      <c r="F22" s="22" t="s">
        <v>188</v>
      </c>
      <c r="G22" s="18">
        <f>IF(AND(F65&lt;&gt;0,0&lt;&gt;0),IF(100*0/(F65-0)&lt;0.005,"*",100*0/(F65-0)),0)</f>
        <v>0</v>
      </c>
    </row>
    <row r="23" spans="1:7" ht="15" x14ac:dyDescent="0.2">
      <c r="A23" s="11" t="s">
        <v>128</v>
      </c>
      <c r="B23" s="17">
        <v>31211</v>
      </c>
      <c r="C23" s="17">
        <v>0</v>
      </c>
      <c r="D23" s="17">
        <v>32709</v>
      </c>
      <c r="E23" s="17">
        <v>32709</v>
      </c>
      <c r="F23" s="22" t="s">
        <v>188</v>
      </c>
      <c r="G23" s="18">
        <f>IF(AND(F65&lt;&gt;0,0&lt;&gt;0),IF(100*0/(F65-0)&lt;0.005,"*",100*0/(F65-0)),0)</f>
        <v>0</v>
      </c>
    </row>
    <row r="24" spans="1:7" ht="15" x14ac:dyDescent="0.2">
      <c r="A24" s="11" t="s">
        <v>129</v>
      </c>
      <c r="B24" s="17">
        <v>44060</v>
      </c>
      <c r="C24" s="17">
        <v>0</v>
      </c>
      <c r="D24" s="17">
        <v>44344</v>
      </c>
      <c r="E24" s="17">
        <v>44344</v>
      </c>
      <c r="F24" s="22" t="s">
        <v>188</v>
      </c>
      <c r="G24" s="18">
        <f>IF(AND(F65&lt;&gt;0,0&lt;&gt;0),IF(100*0/(F65-0)&lt;0.005,"*",100*0/(F65-0)),0)</f>
        <v>0</v>
      </c>
    </row>
    <row r="25" spans="1:7" ht="15" x14ac:dyDescent="0.2">
      <c r="A25" s="11" t="s">
        <v>130</v>
      </c>
      <c r="B25" s="17">
        <v>9857</v>
      </c>
      <c r="C25" s="17">
        <v>0</v>
      </c>
      <c r="D25" s="17">
        <v>10299</v>
      </c>
      <c r="E25" s="17">
        <v>10299</v>
      </c>
      <c r="F25" s="22" t="s">
        <v>188</v>
      </c>
      <c r="G25" s="18">
        <f>IF(AND(F65&lt;&gt;0,0&lt;&gt;0),IF(100*0/(F65-0)&lt;0.005,"*",100*0/(F65-0)),0)</f>
        <v>0</v>
      </c>
    </row>
    <row r="26" spans="1:7" ht="15" x14ac:dyDescent="0.2">
      <c r="A26" s="11" t="s">
        <v>131</v>
      </c>
      <c r="B26" s="17">
        <v>28509</v>
      </c>
      <c r="C26" s="17">
        <v>0</v>
      </c>
      <c r="D26" s="17">
        <v>28720</v>
      </c>
      <c r="E26" s="17">
        <v>28720</v>
      </c>
      <c r="F26" s="22" t="s">
        <v>188</v>
      </c>
      <c r="G26" s="18">
        <f>IF(AND(F65&lt;&gt;0,0&lt;&gt;0),IF(100*0/(F65-0)&lt;0.005,"*",100*0/(F65-0)),0)</f>
        <v>0</v>
      </c>
    </row>
    <row r="27" spans="1:7" ht="15" x14ac:dyDescent="0.2">
      <c r="A27" s="11" t="s">
        <v>132</v>
      </c>
      <c r="B27" s="17">
        <v>34310</v>
      </c>
      <c r="C27" s="17">
        <v>0</v>
      </c>
      <c r="D27" s="17">
        <v>32826</v>
      </c>
      <c r="E27" s="17">
        <v>32826</v>
      </c>
      <c r="F27" s="22" t="s">
        <v>188</v>
      </c>
      <c r="G27" s="18">
        <f>IF(AND(F65&lt;&gt;0,0&lt;&gt;0),IF(100*0/(F65-0)&lt;0.005,"*",100*0/(F65-0)),0)</f>
        <v>0</v>
      </c>
    </row>
    <row r="28" spans="1:7" ht="15" x14ac:dyDescent="0.2">
      <c r="A28" s="11" t="s">
        <v>133</v>
      </c>
      <c r="B28" s="17">
        <v>72707</v>
      </c>
      <c r="C28" s="17">
        <v>0</v>
      </c>
      <c r="D28" s="17">
        <v>71901</v>
      </c>
      <c r="E28" s="17">
        <v>71901</v>
      </c>
      <c r="F28" s="22" t="s">
        <v>188</v>
      </c>
      <c r="G28" s="18">
        <f>IF(AND(F65&lt;&gt;0,0&lt;&gt;0),IF(100*0/(F65-0)&lt;0.005,"*",100*0/(F65-0)),0)</f>
        <v>0</v>
      </c>
    </row>
    <row r="29" spans="1:7" ht="15" x14ac:dyDescent="0.2">
      <c r="A29" s="11" t="s">
        <v>134</v>
      </c>
      <c r="B29" s="17">
        <v>26519</v>
      </c>
      <c r="C29" s="17">
        <v>0</v>
      </c>
      <c r="D29" s="17">
        <v>26678</v>
      </c>
      <c r="E29" s="17">
        <v>26678</v>
      </c>
      <c r="F29" s="22" t="s">
        <v>188</v>
      </c>
      <c r="G29" s="18">
        <f>IF(AND(F65&lt;&gt;0,0&lt;&gt;0),IF(100*0/(F65-0)&lt;0.005,"*",100*0/(F65-0)),0)</f>
        <v>0</v>
      </c>
    </row>
    <row r="30" spans="1:7" ht="15" x14ac:dyDescent="0.2">
      <c r="A30" s="11" t="s">
        <v>135</v>
      </c>
      <c r="B30" s="17">
        <v>29060</v>
      </c>
      <c r="C30" s="17">
        <v>0</v>
      </c>
      <c r="D30" s="17">
        <v>29924</v>
      </c>
      <c r="E30" s="17">
        <v>29924</v>
      </c>
      <c r="F30" s="22" t="s">
        <v>188</v>
      </c>
      <c r="G30" s="18">
        <f>IF(AND(F65&lt;&gt;0,0&lt;&gt;0),IF(100*0/(F65-0)&lt;0.005,"*",100*0/(F65-0)),0)</f>
        <v>0</v>
      </c>
    </row>
    <row r="31" spans="1:7" ht="15" x14ac:dyDescent="0.2">
      <c r="A31" s="11" t="s">
        <v>136</v>
      </c>
      <c r="B31" s="17">
        <v>35300</v>
      </c>
      <c r="C31" s="17">
        <v>0</v>
      </c>
      <c r="D31" s="17">
        <v>36805</v>
      </c>
      <c r="E31" s="17">
        <v>36805</v>
      </c>
      <c r="F31" s="22" t="s">
        <v>188</v>
      </c>
      <c r="G31" s="18">
        <f>IF(AND(F65&lt;&gt;0,0&lt;&gt;0),IF(100*0/(F65-0)&lt;0.005,"*",100*0/(F65-0)),0)</f>
        <v>0</v>
      </c>
    </row>
    <row r="32" spans="1:7" ht="15" x14ac:dyDescent="0.2">
      <c r="A32" s="11" t="s">
        <v>137</v>
      </c>
      <c r="B32" s="17">
        <v>9857</v>
      </c>
      <c r="C32" s="17">
        <v>0</v>
      </c>
      <c r="D32" s="17">
        <v>10299</v>
      </c>
      <c r="E32" s="17">
        <v>10299</v>
      </c>
      <c r="F32" s="22" t="s">
        <v>188</v>
      </c>
      <c r="G32" s="18">
        <f>IF(AND(F65&lt;&gt;0,0&lt;&gt;0),IF(100*0/(F65-0)&lt;0.005,"*",100*0/(F65-0)),0)</f>
        <v>0</v>
      </c>
    </row>
    <row r="33" spans="1:7" ht="15" x14ac:dyDescent="0.2">
      <c r="A33" s="11" t="s">
        <v>138</v>
      </c>
      <c r="B33" s="17">
        <v>10015</v>
      </c>
      <c r="C33" s="17">
        <v>0</v>
      </c>
      <c r="D33" s="17">
        <v>10417</v>
      </c>
      <c r="E33" s="17">
        <v>10417</v>
      </c>
      <c r="F33" s="22" t="s">
        <v>188</v>
      </c>
      <c r="G33" s="18">
        <f>IF(AND(F65&lt;&gt;0,0&lt;&gt;0),IF(100*0/(F65-0)&lt;0.005,"*",100*0/(F65-0)),0)</f>
        <v>0</v>
      </c>
    </row>
    <row r="34" spans="1:7" ht="15" x14ac:dyDescent="0.2">
      <c r="A34" s="11" t="s">
        <v>139</v>
      </c>
      <c r="B34" s="17">
        <v>13136</v>
      </c>
      <c r="C34" s="17">
        <v>0</v>
      </c>
      <c r="D34" s="17">
        <v>14943</v>
      </c>
      <c r="E34" s="17">
        <v>14943</v>
      </c>
      <c r="F34" s="22" t="s">
        <v>188</v>
      </c>
      <c r="G34" s="18">
        <f>IF(AND(F65&lt;&gt;0,0&lt;&gt;0),IF(100*0/(F65-0)&lt;0.005,"*",100*0/(F65-0)),0)</f>
        <v>0</v>
      </c>
    </row>
    <row r="35" spans="1:7" ht="15" x14ac:dyDescent="0.2">
      <c r="A35" s="11" t="s">
        <v>140</v>
      </c>
      <c r="B35" s="17">
        <v>9857</v>
      </c>
      <c r="C35" s="17">
        <v>0</v>
      </c>
      <c r="D35" s="17">
        <v>10299</v>
      </c>
      <c r="E35" s="17">
        <v>10299</v>
      </c>
      <c r="F35" s="22" t="s">
        <v>188</v>
      </c>
      <c r="G35" s="18">
        <f>IF(AND(F65&lt;&gt;0,0&lt;&gt;0),IF(100*0/(F65-0)&lt;0.005,"*",100*0/(F65-0)),0)</f>
        <v>0</v>
      </c>
    </row>
    <row r="36" spans="1:7" ht="15" x14ac:dyDescent="0.2">
      <c r="A36" s="11" t="s">
        <v>141</v>
      </c>
      <c r="B36" s="17">
        <v>45227</v>
      </c>
      <c r="C36" s="17">
        <v>0</v>
      </c>
      <c r="D36" s="17">
        <v>45226</v>
      </c>
      <c r="E36" s="17">
        <v>45226</v>
      </c>
      <c r="F36" s="22" t="s">
        <v>188</v>
      </c>
      <c r="G36" s="18">
        <f>IF(AND(F65&lt;&gt;0,0&lt;&gt;0),IF(100*0/(F65-0)&lt;0.005,"*",100*0/(F65-0)),0)</f>
        <v>0</v>
      </c>
    </row>
    <row r="37" spans="1:7" ht="15" x14ac:dyDescent="0.2">
      <c r="A37" s="11" t="s">
        <v>142</v>
      </c>
      <c r="B37" s="17">
        <v>16431</v>
      </c>
      <c r="C37" s="17">
        <v>0</v>
      </c>
      <c r="D37" s="17">
        <v>17145</v>
      </c>
      <c r="E37" s="17">
        <v>17145</v>
      </c>
      <c r="F37" s="22" t="s">
        <v>188</v>
      </c>
      <c r="G37" s="18">
        <f>IF(AND(F65&lt;&gt;0,0&lt;&gt;0),IF(100*0/(F65-0)&lt;0.005,"*",100*0/(F65-0)),0)</f>
        <v>0</v>
      </c>
    </row>
    <row r="38" spans="1:7" ht="15" x14ac:dyDescent="0.2">
      <c r="A38" s="11" t="s">
        <v>143</v>
      </c>
      <c r="B38" s="17">
        <v>148453</v>
      </c>
      <c r="C38" s="17">
        <v>0</v>
      </c>
      <c r="D38" s="17">
        <v>140907</v>
      </c>
      <c r="E38" s="17">
        <v>140907</v>
      </c>
      <c r="F38" s="22" t="s">
        <v>188</v>
      </c>
      <c r="G38" s="18">
        <f>IF(AND(F65&lt;&gt;0,0&lt;&gt;0),IF(100*0/(F65-0)&lt;0.005,"*",100*0/(F65-0)),0)</f>
        <v>0</v>
      </c>
    </row>
    <row r="39" spans="1:7" ht="15" x14ac:dyDescent="0.2">
      <c r="A39" s="11" t="s">
        <v>144</v>
      </c>
      <c r="B39" s="17">
        <v>52478</v>
      </c>
      <c r="C39" s="17">
        <v>0</v>
      </c>
      <c r="D39" s="17">
        <v>58077</v>
      </c>
      <c r="E39" s="17">
        <v>58077</v>
      </c>
      <c r="F39" s="22" t="s">
        <v>188</v>
      </c>
      <c r="G39" s="18">
        <f>IF(AND(F65&lt;&gt;0,0&lt;&gt;0),IF(100*0/(F65-0)&lt;0.005,"*",100*0/(F65-0)),0)</f>
        <v>0</v>
      </c>
    </row>
    <row r="40" spans="1:7" ht="15" x14ac:dyDescent="0.2">
      <c r="A40" s="11" t="s">
        <v>145</v>
      </c>
      <c r="B40" s="17">
        <v>9857</v>
      </c>
      <c r="C40" s="17">
        <v>0</v>
      </c>
      <c r="D40" s="17">
        <v>10299</v>
      </c>
      <c r="E40" s="17">
        <v>10299</v>
      </c>
      <c r="F40" s="22" t="s">
        <v>188</v>
      </c>
      <c r="G40" s="18">
        <f>IF(AND(F65&lt;&gt;0,0&lt;&gt;0),IF(100*0/(F65-0)&lt;0.005,"*",100*0/(F65-0)),0)</f>
        <v>0</v>
      </c>
    </row>
    <row r="41" spans="1:7" ht="15" x14ac:dyDescent="0.2">
      <c r="A41" s="11" t="s">
        <v>146</v>
      </c>
      <c r="B41" s="17">
        <v>74458</v>
      </c>
      <c r="C41" s="17">
        <v>0</v>
      </c>
      <c r="D41" s="17">
        <v>75789</v>
      </c>
      <c r="E41" s="17">
        <v>75789</v>
      </c>
      <c r="F41" s="22" t="s">
        <v>188</v>
      </c>
      <c r="G41" s="18">
        <f>IF(AND(F65&lt;&gt;0,0&lt;&gt;0),IF(100*0/(F65-0)&lt;0.005,"*",100*0/(F65-0)),0)</f>
        <v>0</v>
      </c>
    </row>
    <row r="42" spans="1:7" ht="15" x14ac:dyDescent="0.2">
      <c r="A42" s="11" t="s">
        <v>147</v>
      </c>
      <c r="B42" s="17">
        <v>25123</v>
      </c>
      <c r="C42" s="17">
        <v>0</v>
      </c>
      <c r="D42" s="17">
        <v>26998</v>
      </c>
      <c r="E42" s="17">
        <v>26998</v>
      </c>
      <c r="F42" s="22" t="s">
        <v>188</v>
      </c>
      <c r="G42" s="18">
        <f>IF(AND(F65&lt;&gt;0,0&lt;&gt;0),IF(100*0/(F65-0)&lt;0.005,"*",100*0/(F65-0)),0)</f>
        <v>0</v>
      </c>
    </row>
    <row r="43" spans="1:7" ht="15" x14ac:dyDescent="0.2">
      <c r="A43" s="11" t="s">
        <v>148</v>
      </c>
      <c r="B43" s="17">
        <v>19869</v>
      </c>
      <c r="C43" s="17">
        <v>0</v>
      </c>
      <c r="D43" s="17">
        <v>20432</v>
      </c>
      <c r="E43" s="17">
        <v>20432</v>
      </c>
      <c r="F43" s="22" t="s">
        <v>188</v>
      </c>
      <c r="G43" s="18">
        <f>IF(AND(F65&lt;&gt;0,0&lt;&gt;0),IF(100*0/(F65-0)&lt;0.005,"*",100*0/(F65-0)),0)</f>
        <v>0</v>
      </c>
    </row>
    <row r="44" spans="1:7" ht="15" x14ac:dyDescent="0.2">
      <c r="A44" s="11" t="s">
        <v>149</v>
      </c>
      <c r="B44" s="17">
        <v>76769</v>
      </c>
      <c r="C44" s="17">
        <v>0</v>
      </c>
      <c r="D44" s="17">
        <v>76705</v>
      </c>
      <c r="E44" s="17">
        <v>76705</v>
      </c>
      <c r="F44" s="22" t="s">
        <v>188</v>
      </c>
      <c r="G44" s="18">
        <f>IF(AND(F65&lt;&gt;0,0&lt;&gt;0),IF(100*0/(F65-0)&lt;0.005,"*",100*0/(F65-0)),0)</f>
        <v>0</v>
      </c>
    </row>
    <row r="45" spans="1:7" ht="15" x14ac:dyDescent="0.2">
      <c r="A45" s="11" t="s">
        <v>150</v>
      </c>
      <c r="B45" s="17">
        <v>9857</v>
      </c>
      <c r="C45" s="17">
        <v>0</v>
      </c>
      <c r="D45" s="17">
        <v>10299</v>
      </c>
      <c r="E45" s="17">
        <v>10299</v>
      </c>
      <c r="F45" s="22" t="s">
        <v>188</v>
      </c>
      <c r="G45" s="18">
        <f>IF(AND(F65&lt;&gt;0,0&lt;&gt;0),IF(100*0/(F65-0)&lt;0.005,"*",100*0/(F65-0)),0)</f>
        <v>0</v>
      </c>
    </row>
    <row r="46" spans="1:7" ht="15" x14ac:dyDescent="0.2">
      <c r="A46" s="11" t="s">
        <v>151</v>
      </c>
      <c r="B46" s="17">
        <v>28640</v>
      </c>
      <c r="C46" s="17">
        <v>0</v>
      </c>
      <c r="D46" s="17">
        <v>31834</v>
      </c>
      <c r="E46" s="17">
        <v>31834</v>
      </c>
      <c r="F46" s="22" t="s">
        <v>188</v>
      </c>
      <c r="G46" s="18">
        <f>IF(AND(F65&lt;&gt;0,0&lt;&gt;0),IF(100*0/(F65-0)&lt;0.005,"*",100*0/(F65-0)),0)</f>
        <v>0</v>
      </c>
    </row>
    <row r="47" spans="1:7" ht="15" x14ac:dyDescent="0.2">
      <c r="A47" s="11" t="s">
        <v>152</v>
      </c>
      <c r="B47" s="17">
        <v>9857</v>
      </c>
      <c r="C47" s="17">
        <v>0</v>
      </c>
      <c r="D47" s="17">
        <v>10299</v>
      </c>
      <c r="E47" s="17">
        <v>10299</v>
      </c>
      <c r="F47" s="22" t="s">
        <v>188</v>
      </c>
      <c r="G47" s="18">
        <f>IF(AND(F65&lt;&gt;0,0&lt;&gt;0),IF(100*0/(F65-0)&lt;0.005,"*",100*0/(F65-0)),0)</f>
        <v>0</v>
      </c>
    </row>
    <row r="48" spans="1:7" ht="15" x14ac:dyDescent="0.2">
      <c r="A48" s="11" t="s">
        <v>153</v>
      </c>
      <c r="B48" s="17">
        <v>37879</v>
      </c>
      <c r="C48" s="17">
        <v>0</v>
      </c>
      <c r="D48" s="17">
        <v>41669</v>
      </c>
      <c r="E48" s="17">
        <v>41669</v>
      </c>
      <c r="F48" s="22" t="s">
        <v>188</v>
      </c>
      <c r="G48" s="18">
        <f>IF(AND(F65&lt;&gt;0,0&lt;&gt;0),IF(100*0/(F65-0)&lt;0.005,"*",100*0/(F65-0)),0)</f>
        <v>0</v>
      </c>
    </row>
    <row r="49" spans="1:7" ht="15" x14ac:dyDescent="0.2">
      <c r="A49" s="11" t="s">
        <v>154</v>
      </c>
      <c r="B49" s="17">
        <v>184124</v>
      </c>
      <c r="C49" s="17">
        <v>0</v>
      </c>
      <c r="D49" s="17">
        <v>204353</v>
      </c>
      <c r="E49" s="17">
        <v>204353</v>
      </c>
      <c r="F49" s="22" t="s">
        <v>188</v>
      </c>
      <c r="G49" s="18">
        <f>IF(AND(F65&lt;&gt;0,0&lt;&gt;0),IF(100*0/(F65-0)&lt;0.005,"*",100*0/(F65-0)),0)</f>
        <v>0</v>
      </c>
    </row>
    <row r="50" spans="1:7" ht="15" x14ac:dyDescent="0.2">
      <c r="A50" s="11" t="s">
        <v>155</v>
      </c>
      <c r="B50" s="17">
        <v>14195</v>
      </c>
      <c r="C50" s="17">
        <v>0</v>
      </c>
      <c r="D50" s="17">
        <v>14738</v>
      </c>
      <c r="E50" s="17">
        <v>14738</v>
      </c>
      <c r="F50" s="22" t="s">
        <v>188</v>
      </c>
      <c r="G50" s="18">
        <f>IF(AND(F65&lt;&gt;0,0&lt;&gt;0),IF(100*0/(F65-0)&lt;0.005,"*",100*0/(F65-0)),0)</f>
        <v>0</v>
      </c>
    </row>
    <row r="51" spans="1:7" ht="15" x14ac:dyDescent="0.2">
      <c r="A51" s="11" t="s">
        <v>156</v>
      </c>
      <c r="B51" s="17">
        <v>9857</v>
      </c>
      <c r="C51" s="17">
        <v>0</v>
      </c>
      <c r="D51" s="17">
        <v>10299</v>
      </c>
      <c r="E51" s="17">
        <v>10299</v>
      </c>
      <c r="F51" s="22" t="s">
        <v>188</v>
      </c>
      <c r="G51" s="18">
        <f>IF(AND(F65&lt;&gt;0,0&lt;&gt;0),IF(100*0/(F65-0)&lt;0.005,"*",100*0/(F65-0)),0)</f>
        <v>0</v>
      </c>
    </row>
    <row r="52" spans="1:7" ht="15" x14ac:dyDescent="0.2">
      <c r="A52" s="11" t="s">
        <v>157</v>
      </c>
      <c r="B52" s="17">
        <v>37837</v>
      </c>
      <c r="C52" s="17">
        <v>0</v>
      </c>
      <c r="D52" s="17">
        <v>39112</v>
      </c>
      <c r="E52" s="17">
        <v>39112</v>
      </c>
      <c r="F52" s="22" t="s">
        <v>188</v>
      </c>
      <c r="G52" s="18">
        <f>IF(AND(F65&lt;&gt;0,0&lt;&gt;0),IF(100*0/(F65-0)&lt;0.005,"*",100*0/(F65-0)),0)</f>
        <v>0</v>
      </c>
    </row>
    <row r="53" spans="1:7" ht="15" x14ac:dyDescent="0.2">
      <c r="A53" s="11" t="s">
        <v>158</v>
      </c>
      <c r="B53" s="17">
        <v>34073</v>
      </c>
      <c r="C53" s="17">
        <v>0</v>
      </c>
      <c r="D53" s="17">
        <v>33876</v>
      </c>
      <c r="E53" s="17">
        <v>33876</v>
      </c>
      <c r="F53" s="22" t="s">
        <v>188</v>
      </c>
      <c r="G53" s="18">
        <f>IF(AND(F65&lt;&gt;0,0&lt;&gt;0),IF(100*0/(F65-0)&lt;0.005,"*",100*0/(F65-0)),0)</f>
        <v>0</v>
      </c>
    </row>
    <row r="54" spans="1:7" ht="15" x14ac:dyDescent="0.2">
      <c r="A54" s="11" t="s">
        <v>159</v>
      </c>
      <c r="B54" s="17">
        <v>15459</v>
      </c>
      <c r="C54" s="17">
        <v>0</v>
      </c>
      <c r="D54" s="17">
        <v>14937</v>
      </c>
      <c r="E54" s="17">
        <v>14937</v>
      </c>
      <c r="F54" s="22" t="s">
        <v>188</v>
      </c>
      <c r="G54" s="18">
        <f>IF(AND(F65&lt;&gt;0,0&lt;&gt;0),IF(100*0/(F65-0)&lt;0.005,"*",100*0/(F65-0)),0)</f>
        <v>0</v>
      </c>
    </row>
    <row r="55" spans="1:7" ht="15" x14ac:dyDescent="0.2">
      <c r="A55" s="11" t="s">
        <v>160</v>
      </c>
      <c r="B55" s="17">
        <v>31588</v>
      </c>
      <c r="C55" s="17">
        <v>0</v>
      </c>
      <c r="D55" s="17">
        <v>31145</v>
      </c>
      <c r="E55" s="17">
        <v>31145</v>
      </c>
      <c r="F55" s="22" t="s">
        <v>188</v>
      </c>
      <c r="G55" s="18">
        <f>IF(AND(F65&lt;&gt;0,0&lt;&gt;0),IF(100*0/(F65-0)&lt;0.005,"*",100*0/(F65-0)),0)</f>
        <v>0</v>
      </c>
    </row>
    <row r="56" spans="1:7" ht="15" x14ac:dyDescent="0.2">
      <c r="A56" s="11" t="s">
        <v>161</v>
      </c>
      <c r="B56" s="17">
        <v>9857</v>
      </c>
      <c r="C56" s="17">
        <v>0</v>
      </c>
      <c r="D56" s="17">
        <v>10299</v>
      </c>
      <c r="E56" s="17">
        <v>10299</v>
      </c>
      <c r="F56" s="22" t="s">
        <v>188</v>
      </c>
      <c r="G56" s="18">
        <f>IF(AND(F65&lt;&gt;0,0&lt;&gt;0),IF(100*0/(F65-0)&lt;0.005,"*",100*0/(F65-0)),0)</f>
        <v>0</v>
      </c>
    </row>
    <row r="57" spans="1:7" ht="15" x14ac:dyDescent="0.2">
      <c r="A57" s="11" t="s">
        <v>162</v>
      </c>
      <c r="B57" s="17">
        <v>2574</v>
      </c>
      <c r="C57" s="17">
        <v>0</v>
      </c>
      <c r="D57" s="17">
        <v>2808</v>
      </c>
      <c r="E57" s="17">
        <v>2808</v>
      </c>
      <c r="F57" s="22" t="s">
        <v>188</v>
      </c>
      <c r="G57" s="18">
        <f>IF(AND(F65&lt;&gt;0,0&lt;&gt;0),IF(100*0/(F65-0)&lt;0.005,"*",100*0/(F65-0)),0)</f>
        <v>0</v>
      </c>
    </row>
    <row r="58" spans="1:7" ht="15" x14ac:dyDescent="0.2">
      <c r="A58" s="11" t="s">
        <v>163</v>
      </c>
      <c r="B58" s="17">
        <v>3817</v>
      </c>
      <c r="C58" s="17">
        <v>0</v>
      </c>
      <c r="D58" s="17">
        <v>3885</v>
      </c>
      <c r="E58" s="17">
        <v>3885</v>
      </c>
      <c r="F58" s="22" t="s">
        <v>188</v>
      </c>
      <c r="G58" s="18">
        <f>IF(AND(F65&lt;&gt;0,0&lt;&gt;0),IF(100*0/(F65-0)&lt;0.005,"*",100*0/(F65-0)),0)</f>
        <v>0</v>
      </c>
    </row>
    <row r="59" spans="1:7" ht="15" x14ac:dyDescent="0.2">
      <c r="A59" s="11" t="s">
        <v>164</v>
      </c>
      <c r="B59" s="17">
        <v>1584</v>
      </c>
      <c r="C59" s="17">
        <v>0</v>
      </c>
      <c r="D59" s="17">
        <v>1727</v>
      </c>
      <c r="E59" s="17">
        <v>1727</v>
      </c>
      <c r="F59" s="22" t="s">
        <v>188</v>
      </c>
      <c r="G59" s="18">
        <f>IF(AND(F65&lt;&gt;0,0&lt;&gt;0),IF(100*0/(F65-0)&lt;0.005,"*",100*0/(F65-0)),0)</f>
        <v>0</v>
      </c>
    </row>
    <row r="60" spans="1:7" ht="15" x14ac:dyDescent="0.2">
      <c r="A60" s="11" t="s">
        <v>165</v>
      </c>
      <c r="B60" s="17">
        <v>57847</v>
      </c>
      <c r="C60" s="17">
        <v>0</v>
      </c>
      <c r="D60" s="17">
        <v>56168</v>
      </c>
      <c r="E60" s="17">
        <v>56168</v>
      </c>
      <c r="F60" s="22" t="s">
        <v>188</v>
      </c>
      <c r="G60" s="18">
        <f>IF(AND(F65&lt;&gt;0,0&lt;&gt;0),IF(100*0/(F65-0)&lt;0.005,"*",100*0/(F65-0)),0)</f>
        <v>0</v>
      </c>
    </row>
    <row r="61" spans="1:7" ht="15" x14ac:dyDescent="0.2">
      <c r="A61" s="11" t="s">
        <v>166</v>
      </c>
      <c r="B61" s="17">
        <v>0</v>
      </c>
      <c r="C61" s="17">
        <v>0</v>
      </c>
      <c r="D61" s="17">
        <v>0</v>
      </c>
      <c r="E61" s="17">
        <v>0</v>
      </c>
      <c r="F61" s="22" t="s">
        <v>188</v>
      </c>
      <c r="G61" s="18">
        <f>IF(AND(F65&lt;&gt;0,0&lt;&gt;0),IF(100*0/(F65-0)&lt;0.005,"*",100*0/(F65-0)),0)</f>
        <v>0</v>
      </c>
    </row>
    <row r="62" spans="1:7" ht="15" x14ac:dyDescent="0.2">
      <c r="A62" s="11" t="s">
        <v>167</v>
      </c>
      <c r="B62" s="17">
        <v>2252</v>
      </c>
      <c r="C62" s="17">
        <v>0</v>
      </c>
      <c r="D62" s="17">
        <v>2186</v>
      </c>
      <c r="E62" s="17">
        <v>2186</v>
      </c>
      <c r="F62" s="22" t="s">
        <v>188</v>
      </c>
      <c r="G62" s="18">
        <f>IF(AND(F65&lt;&gt;0,0&lt;&gt;0),IF(100*0/(F65-0)&lt;0.005,"*",100*0/(F65-0)),0)</f>
        <v>0</v>
      </c>
    </row>
    <row r="63" spans="1:7" ht="15" x14ac:dyDescent="0.2">
      <c r="A63" s="11" t="s">
        <v>168</v>
      </c>
      <c r="B63" s="17">
        <v>10228</v>
      </c>
      <c r="C63" s="17">
        <v>0</v>
      </c>
      <c r="D63" s="17">
        <v>10606</v>
      </c>
      <c r="E63" s="17">
        <v>10606</v>
      </c>
      <c r="F63" s="22" t="s">
        <v>188</v>
      </c>
      <c r="G63" s="18">
        <f>IF(AND(F65&lt;&gt;0,0&lt;&gt;0),IF(100*0/(F65-0)&lt;0.005,"*",100*0/(F65-0)),0)</f>
        <v>0</v>
      </c>
    </row>
    <row r="64" spans="1:7" ht="15" x14ac:dyDescent="0.2">
      <c r="A64" s="11" t="s">
        <v>169</v>
      </c>
      <c r="B64" s="17">
        <v>10279</v>
      </c>
      <c r="C64" s="17">
        <v>0</v>
      </c>
      <c r="D64" s="17">
        <v>10659</v>
      </c>
      <c r="E64" s="17">
        <v>10659</v>
      </c>
      <c r="F64" s="22" t="s">
        <v>188</v>
      </c>
      <c r="G64" s="18">
        <v>0</v>
      </c>
    </row>
    <row r="65" spans="1:7" ht="15" customHeight="1" x14ac:dyDescent="0.2">
      <c r="A65" s="19" t="s">
        <v>110</v>
      </c>
      <c r="B65" s="20">
        <f>33628+9857+37200+20277+229490+23292+17930+9857+9857+102439+61190+9857+9857+79034+36200+15088+15906+31211+44060+9857+28509+34310+72707+26519+29060+35300+9857+10015+13136+9857+45227+16431+148453+52478+9857+74458+25123+19869+76769+9857+28640+9857+37879+184124+14195+9857+37837+34073+15459+31588+9857+2574+3817+1584+57847+0+2252+10228+10279+0</f>
        <v>2055826</v>
      </c>
      <c r="C65" s="20">
        <f>0+0+0+0+0+0+0+0+0+0+0+0+0+0+0+0+0+0+0+0+0+0+0+0+0+0+0+0+0+0+0+0+0+0+0+0+0+0+0+0+0+0+0+0+0+0+0+0+0+0+0+0+0+0+0+0+0+0+0+0</f>
        <v>0</v>
      </c>
      <c r="D65" s="20">
        <f>35796+10299+41710+22038+238130+24556+18210+10299+10299+110864+67424+10299+10299+78267+38397+15954+16354+32709+44344+10299+28720+32826+71901+26678+29924+36805+10299+10417+14943+10299+45226+17145+140907+58077+10299+75789+26998+20432+76705+10299+31834+10299+41669+204353+14738+10299+39112+33876+14937+31145+10299+2808+3885+1727+56168+0+2186+10606+10659+0</f>
        <v>2131836</v>
      </c>
      <c r="E65" s="20">
        <f>SUM(C65:D65)</f>
        <v>2131836</v>
      </c>
      <c r="F65" s="20">
        <f>0+0+0+0+0+0+0+0+0+0+0+0+0+0+0+0+0+0+0+0+0+0+0+0+0+0+0+0+0+0+0+0+0+0+0+0+0+0+0+0+0+0+0+0+0+0+0+0+0+0+0+0+0+0+0+0+0+0+0+0</f>
        <v>0</v>
      </c>
      <c r="G65" s="23" t="s">
        <v>189</v>
      </c>
    </row>
    <row r="66" spans="1:7" ht="15" customHeight="1" x14ac:dyDescent="0.2">
      <c r="A66" s="74" t="s">
        <v>171</v>
      </c>
      <c r="B66" s="74"/>
      <c r="C66" s="74"/>
      <c r="D66" s="74"/>
      <c r="E66" s="74"/>
      <c r="F66" s="74"/>
      <c r="G66" s="74"/>
    </row>
    <row r="67" spans="1:7" ht="33" customHeight="1" x14ac:dyDescent="0.2">
      <c r="A67" s="67" t="s">
        <v>193</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2" t="s">
        <v>185</v>
      </c>
      <c r="B1" s="10"/>
      <c r="C1" s="10"/>
      <c r="D1" s="10"/>
      <c r="E1" s="10"/>
      <c r="F1" s="10"/>
      <c r="G1" s="12" t="s">
        <v>29</v>
      </c>
    </row>
    <row r="2" spans="1:7" x14ac:dyDescent="0.2">
      <c r="A2" s="13" t="s">
        <v>194</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ht="15" x14ac:dyDescent="0.2">
      <c r="A6" s="11" t="s">
        <v>111</v>
      </c>
      <c r="B6" s="17">
        <v>0</v>
      </c>
      <c r="C6" s="17">
        <v>0</v>
      </c>
      <c r="D6" s="17">
        <v>0</v>
      </c>
      <c r="E6" s="17">
        <v>0</v>
      </c>
      <c r="F6" s="22" t="s">
        <v>195</v>
      </c>
      <c r="G6" s="18">
        <f>IF(AND(F65&lt;&gt;24363,316229&lt;&gt;0),IF(100*316229/(F65-24363)&lt;0.005,"*",100*316229/(F65-24363)),0)</f>
        <v>1.63518229705704</v>
      </c>
    </row>
    <row r="7" spans="1:7" ht="15" x14ac:dyDescent="0.2">
      <c r="A7" s="11" t="s">
        <v>112</v>
      </c>
      <c r="B7" s="17">
        <v>0</v>
      </c>
      <c r="C7" s="17">
        <v>0</v>
      </c>
      <c r="D7" s="17">
        <v>0</v>
      </c>
      <c r="E7" s="17">
        <v>0</v>
      </c>
      <c r="F7" s="22" t="s">
        <v>196</v>
      </c>
      <c r="G7" s="18">
        <f>IF(AND(F65&lt;&gt;24363,56903&lt;&gt;0),IF(100*56903/(F65-24363)&lt;0.005,"*",100*56903/(F65-24363)),0)</f>
        <v>0.29423860003173885</v>
      </c>
    </row>
    <row r="8" spans="1:7" ht="15" x14ac:dyDescent="0.2">
      <c r="A8" s="11" t="s">
        <v>113</v>
      </c>
      <c r="B8" s="17">
        <v>0</v>
      </c>
      <c r="C8" s="17">
        <v>0</v>
      </c>
      <c r="D8" s="17">
        <v>0</v>
      </c>
      <c r="E8" s="17">
        <v>0</v>
      </c>
      <c r="F8" s="22" t="s">
        <v>197</v>
      </c>
      <c r="G8" s="18">
        <f>IF(AND(F65&lt;&gt;24363,405211&lt;&gt;0),IF(100*405211/(F65-24363)&lt;0.005,"*",100*405211/(F65-24363)),0)</f>
        <v>2.0952975652858536</v>
      </c>
    </row>
    <row r="9" spans="1:7" ht="15" x14ac:dyDescent="0.2">
      <c r="A9" s="11" t="s">
        <v>114</v>
      </c>
      <c r="B9" s="17">
        <v>0</v>
      </c>
      <c r="C9" s="17">
        <v>0</v>
      </c>
      <c r="D9" s="17">
        <v>0</v>
      </c>
      <c r="E9" s="17">
        <v>0</v>
      </c>
      <c r="F9" s="22" t="s">
        <v>198</v>
      </c>
      <c r="G9" s="18">
        <f>IF(AND(F65&lt;&gt;24363,195664&lt;&gt;0),IF(100*195664/(F65-24363)&lt;0.005,"*",100*195664/(F65-24363)),0)</f>
        <v>1.011755117245315</v>
      </c>
    </row>
    <row r="10" spans="1:7" ht="15" x14ac:dyDescent="0.2">
      <c r="A10" s="11" t="s">
        <v>115</v>
      </c>
      <c r="B10" s="17">
        <v>0</v>
      </c>
      <c r="C10" s="17">
        <v>0</v>
      </c>
      <c r="D10" s="17">
        <v>0</v>
      </c>
      <c r="E10" s="17">
        <v>0</v>
      </c>
      <c r="F10" s="22" t="s">
        <v>199</v>
      </c>
      <c r="G10" s="18">
        <f>IF(AND(F65&lt;&gt;24363,2366306&lt;&gt;0),IF(100*2366306/(F65-24363)&lt;0.005,"*",100*2366306/(F65-24363)),0)</f>
        <v>12.23588500934404</v>
      </c>
    </row>
    <row r="11" spans="1:7" ht="15" x14ac:dyDescent="0.2">
      <c r="A11" s="11" t="s">
        <v>116</v>
      </c>
      <c r="B11" s="17">
        <v>0</v>
      </c>
      <c r="C11" s="17">
        <v>0</v>
      </c>
      <c r="D11" s="17">
        <v>0</v>
      </c>
      <c r="E11" s="17">
        <v>0</v>
      </c>
      <c r="F11" s="22" t="s">
        <v>200</v>
      </c>
      <c r="G11" s="18">
        <f>IF(AND(F65&lt;&gt;24363,182493&lt;&gt;0),IF(100*182493/(F65-24363)&lt;0.005,"*",100*182493/(F65-24363)),0)</f>
        <v>0.94364945320268034</v>
      </c>
    </row>
    <row r="12" spans="1:7" ht="15" x14ac:dyDescent="0.2">
      <c r="A12" s="11" t="s">
        <v>117</v>
      </c>
      <c r="B12" s="17">
        <v>0</v>
      </c>
      <c r="C12" s="17">
        <v>0</v>
      </c>
      <c r="D12" s="17">
        <v>0</v>
      </c>
      <c r="E12" s="17">
        <v>0</v>
      </c>
      <c r="F12" s="22" t="s">
        <v>201</v>
      </c>
      <c r="G12" s="18">
        <f>IF(AND(F65&lt;&gt;24363,172221&lt;&gt;0),IF(100*172221/(F65-24363)&lt;0.005,"*",100*172221/(F65-24363)),0)</f>
        <v>0.89053417106419874</v>
      </c>
    </row>
    <row r="13" spans="1:7" ht="15" x14ac:dyDescent="0.2">
      <c r="A13" s="11" t="s">
        <v>118</v>
      </c>
      <c r="B13" s="17">
        <v>0</v>
      </c>
      <c r="C13" s="17">
        <v>0</v>
      </c>
      <c r="D13" s="17">
        <v>0</v>
      </c>
      <c r="E13" s="17">
        <v>0</v>
      </c>
      <c r="F13" s="22" t="s">
        <v>202</v>
      </c>
      <c r="G13" s="18">
        <f>IF(AND(F65&lt;&gt;24363,65096&lt;&gt;0),IF(100*65096/(F65-24363)&lt;0.005,"*",100*65096/(F65-24363)),0)</f>
        <v>0.33660362208787009</v>
      </c>
    </row>
    <row r="14" spans="1:7" ht="15" x14ac:dyDescent="0.2">
      <c r="A14" s="11" t="s">
        <v>119</v>
      </c>
      <c r="B14" s="17">
        <v>0</v>
      </c>
      <c r="C14" s="17">
        <v>0</v>
      </c>
      <c r="D14" s="17">
        <v>0</v>
      </c>
      <c r="E14" s="17">
        <v>0</v>
      </c>
      <c r="F14" s="22" t="s">
        <v>203</v>
      </c>
      <c r="G14" s="18">
        <f>IF(AND(F65&lt;&gt;24363,61789&lt;&gt;0),IF(100*61789/(F65-24363)&lt;0.005,"*",100*61789/(F65-24363)),0)</f>
        <v>0.319503521033357</v>
      </c>
    </row>
    <row r="15" spans="1:7" ht="15" x14ac:dyDescent="0.2">
      <c r="A15" s="11" t="s">
        <v>120</v>
      </c>
      <c r="B15" s="17">
        <v>0</v>
      </c>
      <c r="C15" s="17">
        <v>0</v>
      </c>
      <c r="D15" s="17">
        <v>0</v>
      </c>
      <c r="E15" s="17">
        <v>0</v>
      </c>
      <c r="F15" s="22" t="s">
        <v>204</v>
      </c>
      <c r="G15" s="18">
        <f>IF(AND(F65&lt;&gt;24363,1115543&lt;&gt;0),IF(100*1115543/(F65-24363)&lt;0.005,"*",100*1115543/(F65-24363)),0)</f>
        <v>5.7683392895841354</v>
      </c>
    </row>
    <row r="16" spans="1:7" ht="15" x14ac:dyDescent="0.2">
      <c r="A16" s="11" t="s">
        <v>121</v>
      </c>
      <c r="B16" s="17">
        <v>0</v>
      </c>
      <c r="C16" s="17">
        <v>0</v>
      </c>
      <c r="D16" s="17">
        <v>0</v>
      </c>
      <c r="E16" s="17">
        <v>0</v>
      </c>
      <c r="F16" s="22" t="s">
        <v>205</v>
      </c>
      <c r="G16" s="18">
        <f>IF(AND(F65&lt;&gt;24363,664702&lt;&gt;0),IF(100*664702/(F65-24363)&lt;0.005,"*",100*664702/(F65-24363)),0)</f>
        <v>3.4370944575557858</v>
      </c>
    </row>
    <row r="17" spans="1:7" ht="15" x14ac:dyDescent="0.2">
      <c r="A17" s="11" t="s">
        <v>122</v>
      </c>
      <c r="B17" s="17">
        <v>0</v>
      </c>
      <c r="C17" s="17">
        <v>0</v>
      </c>
      <c r="D17" s="17">
        <v>0</v>
      </c>
      <c r="E17" s="17">
        <v>0</v>
      </c>
      <c r="F17" s="22" t="s">
        <v>206</v>
      </c>
      <c r="G17" s="18">
        <f>IF(AND(F65&lt;&gt;24363,65001&lt;&gt;0),IF(100*65001/(F65-24363)&lt;0.005,"*",100*65001/(F65-24363)),0)</f>
        <v>0.33611238846217351</v>
      </c>
    </row>
    <row r="18" spans="1:7" ht="15" x14ac:dyDescent="0.2">
      <c r="A18" s="11" t="s">
        <v>123</v>
      </c>
      <c r="B18" s="17">
        <v>0</v>
      </c>
      <c r="C18" s="17">
        <v>0</v>
      </c>
      <c r="D18" s="17">
        <v>0</v>
      </c>
      <c r="E18" s="17">
        <v>0</v>
      </c>
      <c r="F18" s="22" t="s">
        <v>207</v>
      </c>
      <c r="G18" s="18">
        <f>IF(AND(F65&lt;&gt;24363,68491&lt;&gt;0),IF(100*68491/(F65-24363)&lt;0.005,"*",100*68491/(F65-24363)),0)</f>
        <v>0.35415876060618645</v>
      </c>
    </row>
    <row r="19" spans="1:7" ht="15" x14ac:dyDescent="0.2">
      <c r="A19" s="11" t="s">
        <v>124</v>
      </c>
      <c r="B19" s="17">
        <v>0</v>
      </c>
      <c r="C19" s="17">
        <v>0</v>
      </c>
      <c r="D19" s="17">
        <v>0</v>
      </c>
      <c r="E19" s="17">
        <v>0</v>
      </c>
      <c r="F19" s="22" t="s">
        <v>208</v>
      </c>
      <c r="G19" s="18">
        <f>IF(AND(F65&lt;&gt;24363,785402&lt;&gt;0),IF(100*785402/(F65-24363)&lt;0.005,"*",100*785402/(F65-24363)),0)</f>
        <v>4.0612197062040272</v>
      </c>
    </row>
    <row r="20" spans="1:7" ht="15" x14ac:dyDescent="0.2">
      <c r="A20" s="11" t="s">
        <v>125</v>
      </c>
      <c r="B20" s="17">
        <v>0</v>
      </c>
      <c r="C20" s="17">
        <v>0</v>
      </c>
      <c r="D20" s="17">
        <v>0</v>
      </c>
      <c r="E20" s="17">
        <v>0</v>
      </c>
      <c r="F20" s="22" t="s">
        <v>209</v>
      </c>
      <c r="G20" s="18">
        <f>IF(AND(F65&lt;&gt;24363,313111&lt;&gt;0),IF(100*313111/(F65-24363)&lt;0.005,"*",100*313111/(F65-24363)),0)</f>
        <v>1.6190594923736497</v>
      </c>
    </row>
    <row r="21" spans="1:7" ht="15" x14ac:dyDescent="0.2">
      <c r="A21" s="11" t="s">
        <v>126</v>
      </c>
      <c r="B21" s="17">
        <v>0</v>
      </c>
      <c r="C21" s="17">
        <v>0</v>
      </c>
      <c r="D21" s="17">
        <v>0</v>
      </c>
      <c r="E21" s="17">
        <v>0</v>
      </c>
      <c r="F21" s="22" t="s">
        <v>210</v>
      </c>
      <c r="G21" s="18">
        <f>IF(AND(F65&lt;&gt;24363,121225&lt;&gt;0),IF(100*121225/(F65-24363)&lt;0.005,"*",100*121225/(F65-24363)),0)</f>
        <v>0.62683996079024906</v>
      </c>
    </row>
    <row r="22" spans="1:7" ht="15" x14ac:dyDescent="0.2">
      <c r="A22" s="11" t="s">
        <v>127</v>
      </c>
      <c r="B22" s="17">
        <v>0</v>
      </c>
      <c r="C22" s="17">
        <v>0</v>
      </c>
      <c r="D22" s="17">
        <v>0</v>
      </c>
      <c r="E22" s="17">
        <v>0</v>
      </c>
      <c r="F22" s="22" t="s">
        <v>211</v>
      </c>
      <c r="G22" s="18">
        <f>IF(AND(F65&lt;&gt;24363,130015&lt;&gt;0),IF(100*130015/(F65-24363)&lt;0.005,"*",100*130015/(F65-24363)),0)</f>
        <v>0.67229199836786335</v>
      </c>
    </row>
    <row r="23" spans="1:7" ht="15" x14ac:dyDescent="0.2">
      <c r="A23" s="11" t="s">
        <v>128</v>
      </c>
      <c r="B23" s="17">
        <v>0</v>
      </c>
      <c r="C23" s="17">
        <v>0</v>
      </c>
      <c r="D23" s="17">
        <v>0</v>
      </c>
      <c r="E23" s="17">
        <v>0</v>
      </c>
      <c r="F23" s="22" t="s">
        <v>212</v>
      </c>
      <c r="G23" s="18">
        <f>IF(AND(F65&lt;&gt;24363,319247&lt;&gt;0),IF(100*319247/(F65-24363)&lt;0.005,"*",100*319247/(F65-24363)),0)</f>
        <v>1.6507880137133812</v>
      </c>
    </row>
    <row r="24" spans="1:7" ht="15" x14ac:dyDescent="0.2">
      <c r="A24" s="11" t="s">
        <v>129</v>
      </c>
      <c r="B24" s="17">
        <v>0</v>
      </c>
      <c r="C24" s="17">
        <v>0</v>
      </c>
      <c r="D24" s="17">
        <v>0</v>
      </c>
      <c r="E24" s="17">
        <v>0</v>
      </c>
      <c r="F24" s="22" t="s">
        <v>213</v>
      </c>
      <c r="G24" s="18">
        <f>IF(AND(F65&lt;&gt;24363,409243&lt;&gt;0),IF(100*409243/(F65-24363)&lt;0.005,"*",100*409243/(F65-24363)),0)</f>
        <v>2.1161465545364728</v>
      </c>
    </row>
    <row r="25" spans="1:7" ht="15" x14ac:dyDescent="0.2">
      <c r="A25" s="11" t="s">
        <v>130</v>
      </c>
      <c r="B25" s="17">
        <v>0</v>
      </c>
      <c r="C25" s="17">
        <v>0</v>
      </c>
      <c r="D25" s="17">
        <v>0</v>
      </c>
      <c r="E25" s="17">
        <v>0</v>
      </c>
      <c r="F25" s="22" t="s">
        <v>214</v>
      </c>
      <c r="G25" s="18">
        <f>IF(AND(F65&lt;&gt;24363,64783&lt;&gt;0),IF(100*64783/(F65-24363)&lt;0.005,"*",100*64783/(F65-24363)),0)</f>
        <v>0.3349851365632065</v>
      </c>
    </row>
    <row r="26" spans="1:7" ht="15" x14ac:dyDescent="0.2">
      <c r="A26" s="11" t="s">
        <v>131</v>
      </c>
      <c r="B26" s="17">
        <v>0</v>
      </c>
      <c r="C26" s="17">
        <v>0</v>
      </c>
      <c r="D26" s="17">
        <v>0</v>
      </c>
      <c r="E26" s="17">
        <v>0</v>
      </c>
      <c r="F26" s="22" t="s">
        <v>215</v>
      </c>
      <c r="G26" s="18">
        <f>IF(AND(F65&lt;&gt;24363,306988&lt;&gt;0),IF(100*306988/(F65-24363)&lt;0.005,"*",100*306988/(F65-24363)),0)</f>
        <v>1.5873981924774343</v>
      </c>
    </row>
    <row r="27" spans="1:7" ht="15" x14ac:dyDescent="0.2">
      <c r="A27" s="11" t="s">
        <v>132</v>
      </c>
      <c r="B27" s="17">
        <v>0</v>
      </c>
      <c r="C27" s="17">
        <v>0</v>
      </c>
      <c r="D27" s="17">
        <v>0</v>
      </c>
      <c r="E27" s="17">
        <v>0</v>
      </c>
      <c r="F27" s="22" t="s">
        <v>216</v>
      </c>
      <c r="G27" s="18">
        <f>IF(AND(F65&lt;&gt;24363,286323&lt;&gt;0),IF(100*286323/(F65-24363)&lt;0.005,"*",100*286323/(F65-24363)),0)</f>
        <v>1.4805419516877416</v>
      </c>
    </row>
    <row r="28" spans="1:7" ht="15" x14ac:dyDescent="0.2">
      <c r="A28" s="11" t="s">
        <v>133</v>
      </c>
      <c r="B28" s="17">
        <v>0</v>
      </c>
      <c r="C28" s="17">
        <v>0</v>
      </c>
      <c r="D28" s="17">
        <v>0</v>
      </c>
      <c r="E28" s="17">
        <v>0</v>
      </c>
      <c r="F28" s="22" t="s">
        <v>217</v>
      </c>
      <c r="G28" s="18">
        <f>IF(AND(F65&lt;&gt;24363,585125&lt;&gt;0),IF(100*585125/(F65-24363)&lt;0.005,"*",100*585125/(F65-24363)),0)</f>
        <v>3.0256113182709381</v>
      </c>
    </row>
    <row r="29" spans="1:7" ht="15" x14ac:dyDescent="0.2">
      <c r="A29" s="11" t="s">
        <v>134</v>
      </c>
      <c r="B29" s="17">
        <v>0</v>
      </c>
      <c r="C29" s="17">
        <v>0</v>
      </c>
      <c r="D29" s="17">
        <v>0</v>
      </c>
      <c r="E29" s="17">
        <v>0</v>
      </c>
      <c r="F29" s="22" t="s">
        <v>218</v>
      </c>
      <c r="G29" s="18">
        <f>IF(AND(F65&lt;&gt;24363,204024&lt;&gt;0),IF(100*204024/(F65-24363)&lt;0.005,"*",100*204024/(F65-24363)),0)</f>
        <v>1.054983676306618</v>
      </c>
    </row>
    <row r="30" spans="1:7" ht="15" x14ac:dyDescent="0.2">
      <c r="A30" s="11" t="s">
        <v>135</v>
      </c>
      <c r="B30" s="17">
        <v>0</v>
      </c>
      <c r="C30" s="17">
        <v>0</v>
      </c>
      <c r="D30" s="17">
        <v>0</v>
      </c>
      <c r="E30" s="17">
        <v>0</v>
      </c>
      <c r="F30" s="22" t="s">
        <v>219</v>
      </c>
      <c r="G30" s="18">
        <f>IF(AND(F65&lt;&gt;24363,250807&lt;&gt;0),IF(100*250807/(F65-24363)&lt;0.005,"*",100*250807/(F65-24363)),0)</f>
        <v>1.29689296800099</v>
      </c>
    </row>
    <row r="31" spans="1:7" ht="15" x14ac:dyDescent="0.2">
      <c r="A31" s="11" t="s">
        <v>136</v>
      </c>
      <c r="B31" s="17">
        <v>0</v>
      </c>
      <c r="C31" s="17">
        <v>0</v>
      </c>
      <c r="D31" s="17">
        <v>0</v>
      </c>
      <c r="E31" s="17">
        <v>0</v>
      </c>
      <c r="F31" s="22" t="s">
        <v>220</v>
      </c>
      <c r="G31" s="18">
        <f>IF(AND(F65&lt;&gt;24363,303381&lt;&gt;0),IF(100*303381/(F65-24363)&lt;0.005,"*",100*303381/(F65-24363)),0)</f>
        <v>1.568746827341774</v>
      </c>
    </row>
    <row r="32" spans="1:7" ht="15" x14ac:dyDescent="0.2">
      <c r="A32" s="11" t="s">
        <v>137</v>
      </c>
      <c r="B32" s="17">
        <v>0</v>
      </c>
      <c r="C32" s="17">
        <v>0</v>
      </c>
      <c r="D32" s="17">
        <v>0</v>
      </c>
      <c r="E32" s="17">
        <v>0</v>
      </c>
      <c r="F32" s="22" t="s">
        <v>221</v>
      </c>
      <c r="G32" s="18">
        <f>IF(AND(F65&lt;&gt;24363,61007&lt;&gt;0),IF(100*61007/(F65-24363)&lt;0.005,"*",100*61007/(F65-24363)),0)</f>
        <v>0.31545989266183316</v>
      </c>
    </row>
    <row r="33" spans="1:7" ht="15" x14ac:dyDescent="0.2">
      <c r="A33" s="11" t="s">
        <v>138</v>
      </c>
      <c r="B33" s="17">
        <v>0</v>
      </c>
      <c r="C33" s="17">
        <v>0</v>
      </c>
      <c r="D33" s="17">
        <v>0</v>
      </c>
      <c r="E33" s="17">
        <v>0</v>
      </c>
      <c r="F33" s="22" t="s">
        <v>222</v>
      </c>
      <c r="G33" s="18">
        <f>IF(AND(F65&lt;&gt;24363,86079&lt;&gt;0),IF(100*86079/(F65-24363)&lt;0.005,"*",100*86079/(F65-24363)),0)</f>
        <v>0.44510420280357887</v>
      </c>
    </row>
    <row r="34" spans="1:7" ht="15" x14ac:dyDescent="0.2">
      <c r="A34" s="11" t="s">
        <v>139</v>
      </c>
      <c r="B34" s="17">
        <v>0</v>
      </c>
      <c r="C34" s="17">
        <v>0</v>
      </c>
      <c r="D34" s="17">
        <v>0</v>
      </c>
      <c r="E34" s="17">
        <v>0</v>
      </c>
      <c r="F34" s="22" t="s">
        <v>223</v>
      </c>
      <c r="G34" s="18">
        <f>IF(AND(F65&lt;&gt;24363,169634&lt;&gt;0),IF(100*169634/(F65-24363)&lt;0.005,"*",100*169634/(F65-24363)),0)</f>
        <v>0.87715710380443901</v>
      </c>
    </row>
    <row r="35" spans="1:7" ht="15" x14ac:dyDescent="0.2">
      <c r="A35" s="11" t="s">
        <v>140</v>
      </c>
      <c r="B35" s="17">
        <v>0</v>
      </c>
      <c r="C35" s="17">
        <v>0</v>
      </c>
      <c r="D35" s="17">
        <v>0</v>
      </c>
      <c r="E35" s="17">
        <v>0</v>
      </c>
      <c r="F35" s="22" t="s">
        <v>224</v>
      </c>
      <c r="G35" s="18">
        <f>IF(AND(F65&lt;&gt;24363,55389&lt;&gt;0),IF(100*55389/(F65-24363)&lt;0.005,"*",100*55389/(F65-24363)),0)</f>
        <v>0.28640988730221578</v>
      </c>
    </row>
    <row r="36" spans="1:7" ht="15" x14ac:dyDescent="0.2">
      <c r="A36" s="11" t="s">
        <v>141</v>
      </c>
      <c r="B36" s="17">
        <v>0</v>
      </c>
      <c r="C36" s="17">
        <v>0</v>
      </c>
      <c r="D36" s="17">
        <v>0</v>
      </c>
      <c r="E36" s="17">
        <v>0</v>
      </c>
      <c r="F36" s="22" t="s">
        <v>225</v>
      </c>
      <c r="G36" s="18">
        <f>IF(AND(F65&lt;&gt;24363,431441&lt;&gt;0),IF(100*431441/(F65-24363)&lt;0.005,"*",100*431441/(F65-24363)),0)</f>
        <v>2.2309297547808278</v>
      </c>
    </row>
    <row r="37" spans="1:7" ht="15" x14ac:dyDescent="0.2">
      <c r="A37" s="11" t="s">
        <v>142</v>
      </c>
      <c r="B37" s="17">
        <v>0</v>
      </c>
      <c r="C37" s="17">
        <v>0</v>
      </c>
      <c r="D37" s="17">
        <v>0</v>
      </c>
      <c r="E37" s="17">
        <v>0</v>
      </c>
      <c r="F37" s="22" t="s">
        <v>226</v>
      </c>
      <c r="G37" s="18">
        <f>IF(AND(F65&lt;&gt;24363,153357&lt;&gt;0),IF(100*153357/(F65-24363)&lt;0.005,"*",100*153357/(F65-24363)),0)</f>
        <v>0.79299068564165998</v>
      </c>
    </row>
    <row r="38" spans="1:7" ht="15" x14ac:dyDescent="0.2">
      <c r="A38" s="11" t="s">
        <v>143</v>
      </c>
      <c r="B38" s="17">
        <v>0</v>
      </c>
      <c r="C38" s="17">
        <v>0</v>
      </c>
      <c r="D38" s="17">
        <v>0</v>
      </c>
      <c r="E38" s="17">
        <v>0</v>
      </c>
      <c r="F38" s="22" t="s">
        <v>227</v>
      </c>
      <c r="G38" s="18">
        <f>IF(AND(F65&lt;&gt;24363,1417885&lt;&gt;0),IF(100*1417885/(F65-24363)&lt;0.005,"*",100*1417885/(F65-24363)),0)</f>
        <v>7.3317135723248699</v>
      </c>
    </row>
    <row r="39" spans="1:7" ht="15" x14ac:dyDescent="0.2">
      <c r="A39" s="11" t="s">
        <v>144</v>
      </c>
      <c r="B39" s="17">
        <v>0</v>
      </c>
      <c r="C39" s="17">
        <v>0</v>
      </c>
      <c r="D39" s="17">
        <v>0</v>
      </c>
      <c r="E39" s="17">
        <v>0</v>
      </c>
      <c r="F39" s="22" t="s">
        <v>228</v>
      </c>
      <c r="G39" s="18">
        <f>IF(AND(F65&lt;&gt;24363,563064&lt;&gt;0),IF(100*563064/(F65-24363)&lt;0.005,"*",100*563064/(F65-24363)),0)</f>
        <v>2.9115365286236403</v>
      </c>
    </row>
    <row r="40" spans="1:7" ht="15" x14ac:dyDescent="0.2">
      <c r="A40" s="11" t="s">
        <v>145</v>
      </c>
      <c r="B40" s="17">
        <v>0</v>
      </c>
      <c r="C40" s="17">
        <v>0</v>
      </c>
      <c r="D40" s="17">
        <v>0</v>
      </c>
      <c r="E40" s="17">
        <v>0</v>
      </c>
      <c r="F40" s="22" t="s">
        <v>229</v>
      </c>
      <c r="G40" s="18">
        <f>IF(AND(F65&lt;&gt;24363,48583&lt;&gt;0),IF(100*48583/(F65-24363)&lt;0.005,"*",100*48583/(F65-24363)),0)</f>
        <v>0.25121687618125527</v>
      </c>
    </row>
    <row r="41" spans="1:7" ht="15" x14ac:dyDescent="0.2">
      <c r="A41" s="11" t="s">
        <v>146</v>
      </c>
      <c r="B41" s="17">
        <v>0</v>
      </c>
      <c r="C41" s="17">
        <v>0</v>
      </c>
      <c r="D41" s="17">
        <v>0</v>
      </c>
      <c r="E41" s="17">
        <v>0</v>
      </c>
      <c r="F41" s="22" t="s">
        <v>230</v>
      </c>
      <c r="G41" s="18">
        <f>IF(AND(F65&lt;&gt;24363,697283&lt;&gt;0),IF(100*697283/(F65-24363)&lt;0.005,"*",100*697283/(F65-24363)),0)</f>
        <v>3.605566907648647</v>
      </c>
    </row>
    <row r="42" spans="1:7" ht="15" x14ac:dyDescent="0.2">
      <c r="A42" s="11" t="s">
        <v>147</v>
      </c>
      <c r="B42" s="17">
        <v>0</v>
      </c>
      <c r="C42" s="17">
        <v>0</v>
      </c>
      <c r="D42" s="17">
        <v>0</v>
      </c>
      <c r="E42" s="17">
        <v>0</v>
      </c>
      <c r="F42" s="22" t="s">
        <v>231</v>
      </c>
      <c r="G42" s="18">
        <f>IF(AND(F65&lt;&gt;24363,233401&lt;&gt;0),IF(100*233401/(F65-24363)&lt;0.005,"*",100*233401/(F65-24363)),0)</f>
        <v>1.2068886260128269</v>
      </c>
    </row>
    <row r="43" spans="1:7" ht="15" x14ac:dyDescent="0.2">
      <c r="A43" s="11" t="s">
        <v>148</v>
      </c>
      <c r="B43" s="17">
        <v>0</v>
      </c>
      <c r="C43" s="17">
        <v>0</v>
      </c>
      <c r="D43" s="17">
        <v>0</v>
      </c>
      <c r="E43" s="17">
        <v>0</v>
      </c>
      <c r="F43" s="22" t="s">
        <v>232</v>
      </c>
      <c r="G43" s="18">
        <f>IF(AND(F65&lt;&gt;24363,174726&lt;&gt;0),IF(100*174726/(F65-24363)&lt;0.005,"*",100*174726/(F65-24363)),0)</f>
        <v>0.90348722614177823</v>
      </c>
    </row>
    <row r="44" spans="1:7" ht="15" x14ac:dyDescent="0.2">
      <c r="A44" s="11" t="s">
        <v>149</v>
      </c>
      <c r="B44" s="17">
        <v>0</v>
      </c>
      <c r="C44" s="17">
        <v>0</v>
      </c>
      <c r="D44" s="17">
        <v>0</v>
      </c>
      <c r="E44" s="17">
        <v>0</v>
      </c>
      <c r="F44" s="22" t="s">
        <v>233</v>
      </c>
      <c r="G44" s="18">
        <f>IF(AND(F65&lt;&gt;24363,783344&lt;&gt;0),IF(100*783344/(F65-24363)&lt;0.005,"*",100*783344/(F65-24363)),0)</f>
        <v>4.0505780346073577</v>
      </c>
    </row>
    <row r="45" spans="1:7" ht="15" x14ac:dyDescent="0.2">
      <c r="A45" s="11" t="s">
        <v>150</v>
      </c>
      <c r="B45" s="17">
        <v>0</v>
      </c>
      <c r="C45" s="17">
        <v>0</v>
      </c>
      <c r="D45" s="17">
        <v>0</v>
      </c>
      <c r="E45" s="17">
        <v>0</v>
      </c>
      <c r="F45" s="22" t="s">
        <v>234</v>
      </c>
      <c r="G45" s="18">
        <f>IF(AND(F65&lt;&gt;24363,66282&lt;&gt;0),IF(100*66282/(F65-24363)&lt;0.005,"*",100*66282/(F65-24363)),0)</f>
        <v>0.34273628608867224</v>
      </c>
    </row>
    <row r="46" spans="1:7" ht="15" x14ac:dyDescent="0.2">
      <c r="A46" s="11" t="s">
        <v>151</v>
      </c>
      <c r="B46" s="17">
        <v>0</v>
      </c>
      <c r="C46" s="17">
        <v>0</v>
      </c>
      <c r="D46" s="17">
        <v>0</v>
      </c>
      <c r="E46" s="17">
        <v>0</v>
      </c>
      <c r="F46" s="22" t="s">
        <v>235</v>
      </c>
      <c r="G46" s="18">
        <f>IF(AND(F65&lt;&gt;24363,330403&lt;&gt;0),IF(100*330403/(F65-24363)&lt;0.005,"*",100*330403/(F65-24363)),0)</f>
        <v>1.7084743540109768</v>
      </c>
    </row>
    <row r="47" spans="1:7" ht="15" x14ac:dyDescent="0.2">
      <c r="A47" s="11" t="s">
        <v>152</v>
      </c>
      <c r="B47" s="17">
        <v>0</v>
      </c>
      <c r="C47" s="17">
        <v>0</v>
      </c>
      <c r="D47" s="17">
        <v>0</v>
      </c>
      <c r="E47" s="17">
        <v>0</v>
      </c>
      <c r="F47" s="22" t="s">
        <v>221</v>
      </c>
      <c r="G47" s="18">
        <f>IF(AND(F65&lt;&gt;24363,61007&lt;&gt;0),IF(100*61007/(F65-24363)&lt;0.005,"*",100*61007/(F65-24363)),0)</f>
        <v>0.31545989266183316</v>
      </c>
    </row>
    <row r="48" spans="1:7" ht="15" x14ac:dyDescent="0.2">
      <c r="A48" s="11" t="s">
        <v>153</v>
      </c>
      <c r="B48" s="17">
        <v>0</v>
      </c>
      <c r="C48" s="17">
        <v>0</v>
      </c>
      <c r="D48" s="17">
        <v>0</v>
      </c>
      <c r="E48" s="17">
        <v>0</v>
      </c>
      <c r="F48" s="22" t="s">
        <v>236</v>
      </c>
      <c r="G48" s="18">
        <f>IF(AND(F65&lt;&gt;24363,389537&lt;&gt;0),IF(100*389537/(F65-24363)&lt;0.005,"*",100*389537/(F65-24363)),0)</f>
        <v>2.0142491879261808</v>
      </c>
    </row>
    <row r="49" spans="1:7" ht="15" x14ac:dyDescent="0.2">
      <c r="A49" s="11" t="s">
        <v>154</v>
      </c>
      <c r="B49" s="17">
        <v>0</v>
      </c>
      <c r="C49" s="17">
        <v>0</v>
      </c>
      <c r="D49" s="17">
        <v>0</v>
      </c>
      <c r="E49" s="17">
        <v>0</v>
      </c>
      <c r="F49" s="22" t="s">
        <v>237</v>
      </c>
      <c r="G49" s="18">
        <f>IF(AND(F65&lt;&gt;24363,1956280&lt;&gt;0),IF(100*1956280/(F65-24363)&lt;0.005,"*",100*1956280/(F65-24363)),0)</f>
        <v>10.115689655555773</v>
      </c>
    </row>
    <row r="50" spans="1:7" ht="15" x14ac:dyDescent="0.2">
      <c r="A50" s="11" t="s">
        <v>155</v>
      </c>
      <c r="B50" s="17">
        <v>0</v>
      </c>
      <c r="C50" s="17">
        <v>0</v>
      </c>
      <c r="D50" s="17">
        <v>0</v>
      </c>
      <c r="E50" s="17">
        <v>0</v>
      </c>
      <c r="F50" s="22" t="s">
        <v>238</v>
      </c>
      <c r="G50" s="18">
        <f>IF(AND(F65&lt;&gt;24363,96306&lt;&gt;0),IF(100*96306/(F65-24363)&lt;0.005,"*",100*96306/(F65-24363)),0)</f>
        <v>0.49798679532988843</v>
      </c>
    </row>
    <row r="51" spans="1:7" ht="15" x14ac:dyDescent="0.2">
      <c r="A51" s="11" t="s">
        <v>156</v>
      </c>
      <c r="B51" s="17">
        <v>0</v>
      </c>
      <c r="C51" s="17">
        <v>0</v>
      </c>
      <c r="D51" s="17">
        <v>0</v>
      </c>
      <c r="E51" s="17">
        <v>0</v>
      </c>
      <c r="F51" s="22" t="s">
        <v>239</v>
      </c>
      <c r="G51" s="18">
        <f>IF(AND(F65&lt;&gt;24363,45525&lt;&gt;0),IF(100*45525/(F65-24363)&lt;0.005,"*",100*45525/(F65-24363)),0)</f>
        <v>0.23540432431409436</v>
      </c>
    </row>
    <row r="52" spans="1:7" ht="15" x14ac:dyDescent="0.2">
      <c r="A52" s="11" t="s">
        <v>157</v>
      </c>
      <c r="B52" s="17">
        <v>0</v>
      </c>
      <c r="C52" s="17">
        <v>0</v>
      </c>
      <c r="D52" s="17">
        <v>0</v>
      </c>
      <c r="E52" s="17">
        <v>0</v>
      </c>
      <c r="F52" s="22" t="s">
        <v>240</v>
      </c>
      <c r="G52" s="18">
        <f>IF(AND(F65&lt;&gt;24363,327425&lt;&gt;0),IF(100*327425/(F65-24363)&lt;0.005,"*",100*327425/(F65-24363)),0)</f>
        <v>1.6930754725654551</v>
      </c>
    </row>
    <row r="53" spans="1:7" ht="15" x14ac:dyDescent="0.2">
      <c r="A53" s="11" t="s">
        <v>158</v>
      </c>
      <c r="B53" s="17">
        <v>0</v>
      </c>
      <c r="C53" s="17">
        <v>0</v>
      </c>
      <c r="D53" s="17">
        <v>0</v>
      </c>
      <c r="E53" s="17">
        <v>0</v>
      </c>
      <c r="F53" s="22" t="s">
        <v>241</v>
      </c>
      <c r="G53" s="18">
        <f>IF(AND(F65&lt;&gt;24363,288564&lt;&gt;0),IF(100*288564/(F65-24363)&lt;0.005,"*",100*288564/(F65-24363)),0)</f>
        <v>1.4921298943739116</v>
      </c>
    </row>
    <row r="54" spans="1:7" ht="15" x14ac:dyDescent="0.2">
      <c r="A54" s="11" t="s">
        <v>159</v>
      </c>
      <c r="B54" s="17">
        <v>0</v>
      </c>
      <c r="C54" s="17">
        <v>0</v>
      </c>
      <c r="D54" s="17">
        <v>0</v>
      </c>
      <c r="E54" s="17">
        <v>0</v>
      </c>
      <c r="F54" s="22" t="s">
        <v>242</v>
      </c>
      <c r="G54" s="18">
        <f>IF(AND(F65&lt;&gt;24363,118630&lt;&gt;0),IF(100*118630/(F65-24363)&lt;0.005,"*",100*118630/(F65-24363)),0)</f>
        <v>0.61342152648832537</v>
      </c>
    </row>
    <row r="55" spans="1:7" ht="15" x14ac:dyDescent="0.2">
      <c r="A55" s="11" t="s">
        <v>160</v>
      </c>
      <c r="B55" s="17">
        <v>0</v>
      </c>
      <c r="C55" s="17">
        <v>0</v>
      </c>
      <c r="D55" s="17">
        <v>0</v>
      </c>
      <c r="E55" s="17">
        <v>0</v>
      </c>
      <c r="F55" s="22" t="s">
        <v>243</v>
      </c>
      <c r="G55" s="18">
        <f>IF(AND(F65&lt;&gt;24363,242471&lt;&gt;0),IF(100*242471/(F65-24363)&lt;0.005,"*",100*242471/(F65-24363)),0)</f>
        <v>1.2537885100661785</v>
      </c>
    </row>
    <row r="56" spans="1:7" ht="15" x14ac:dyDescent="0.2">
      <c r="A56" s="11" t="s">
        <v>161</v>
      </c>
      <c r="B56" s="17">
        <v>0</v>
      </c>
      <c r="C56" s="17">
        <v>0</v>
      </c>
      <c r="D56" s="17">
        <v>0</v>
      </c>
      <c r="E56" s="17">
        <v>0</v>
      </c>
      <c r="F56" s="22" t="s">
        <v>244</v>
      </c>
      <c r="G56" s="18">
        <f>IF(AND(F65&lt;&gt;24363,48328&lt;&gt;0),IF(100*48328/(F65-24363)&lt;0.005,"*",100*48328/(F65-24363)),0)</f>
        <v>0.24989830171228011</v>
      </c>
    </row>
    <row r="57" spans="1:7" ht="15" x14ac:dyDescent="0.2">
      <c r="A57" s="11" t="s">
        <v>162</v>
      </c>
      <c r="B57" s="17">
        <v>0</v>
      </c>
      <c r="C57" s="17">
        <v>0</v>
      </c>
      <c r="D57" s="17">
        <v>0</v>
      </c>
      <c r="E57" s="17">
        <v>0</v>
      </c>
      <c r="F57" s="22" t="s">
        <v>245</v>
      </c>
      <c r="G57" s="18">
        <f>IF(AND(F65&lt;&gt;24363,23790&lt;&gt;0),IF(100*23790/(F65-24363)&lt;0.005,"*",100*23790/(F65-24363)),0)</f>
        <v>0.1230152416349765</v>
      </c>
    </row>
    <row r="58" spans="1:7" ht="15" x14ac:dyDescent="0.2">
      <c r="A58" s="11" t="s">
        <v>163</v>
      </c>
      <c r="B58" s="17">
        <v>0</v>
      </c>
      <c r="C58" s="17">
        <v>0</v>
      </c>
      <c r="D58" s="17">
        <v>0</v>
      </c>
      <c r="E58" s="17">
        <v>0</v>
      </c>
      <c r="F58" s="22" t="s">
        <v>246</v>
      </c>
      <c r="G58" s="18">
        <f>IF(AND(F65&lt;&gt;24363,25776&lt;&gt;0),IF(100*25776/(F65-24363)&lt;0.005,"*",100*25776/(F65-24363)),0)</f>
        <v>0.13328460985217125</v>
      </c>
    </row>
    <row r="59" spans="1:7" ht="15" x14ac:dyDescent="0.2">
      <c r="A59" s="11" t="s">
        <v>164</v>
      </c>
      <c r="B59" s="17">
        <v>0</v>
      </c>
      <c r="C59" s="17">
        <v>0</v>
      </c>
      <c r="D59" s="17">
        <v>0</v>
      </c>
      <c r="E59" s="17">
        <v>0</v>
      </c>
      <c r="F59" s="22" t="s">
        <v>247</v>
      </c>
      <c r="G59" s="18">
        <f>IF(AND(F65&lt;&gt;24363,14380&lt;&gt;0),IF(100*14380/(F65-24363)&lt;0.005,"*",100*14380/(F65-24363)),0)</f>
        <v>7.4357258289657918E-2</v>
      </c>
    </row>
    <row r="60" spans="1:7" ht="15" x14ac:dyDescent="0.2">
      <c r="A60" s="11" t="s">
        <v>165</v>
      </c>
      <c r="B60" s="17">
        <v>0</v>
      </c>
      <c r="C60" s="17">
        <v>0</v>
      </c>
      <c r="D60" s="17">
        <v>0</v>
      </c>
      <c r="E60" s="17">
        <v>0</v>
      </c>
      <c r="F60" s="22" t="s">
        <v>248</v>
      </c>
      <c r="G60" s="18">
        <f>IF(AND(F65&lt;&gt;24363,465063&lt;&gt;0),IF(100*465063/(F65-24363)&lt;0.005,"*",100*465063/(F65-24363)),0)</f>
        <v>2.40478509123527</v>
      </c>
    </row>
    <row r="61" spans="1:7" ht="15" x14ac:dyDescent="0.2">
      <c r="A61" s="11" t="s">
        <v>166</v>
      </c>
      <c r="B61" s="17">
        <v>0</v>
      </c>
      <c r="C61" s="17">
        <v>0</v>
      </c>
      <c r="D61" s="17">
        <v>0</v>
      </c>
      <c r="E61" s="17">
        <v>0</v>
      </c>
      <c r="F61" s="22" t="s">
        <v>249</v>
      </c>
      <c r="G61" s="18">
        <f>IF(AND(F65&lt;&gt;24363,1000&lt;&gt;0),IF(100*1000/(F65-24363)&lt;0.005,"*",100*1000/(F65-24363)),0)</f>
        <v>5.1708802704908156E-3</v>
      </c>
    </row>
    <row r="62" spans="1:7" ht="15" x14ac:dyDescent="0.2">
      <c r="A62" s="11" t="s">
        <v>167</v>
      </c>
      <c r="B62" s="17">
        <v>0</v>
      </c>
      <c r="C62" s="17">
        <v>0</v>
      </c>
      <c r="D62" s="17">
        <v>0</v>
      </c>
      <c r="E62" s="17">
        <v>0</v>
      </c>
      <c r="F62" s="22" t="s">
        <v>250</v>
      </c>
      <c r="G62" s="18">
        <f>IF(AND(F65&lt;&gt;24363,12411&lt;&gt;0),IF(100*12411/(F65-24363)&lt;0.005,"*",100*12411/(F65-24363)),0)</f>
        <v>6.4175795037061514E-2</v>
      </c>
    </row>
    <row r="63" spans="1:7" ht="15" x14ac:dyDescent="0.2">
      <c r="A63" s="11" t="s">
        <v>168</v>
      </c>
      <c r="B63" s="17">
        <v>0</v>
      </c>
      <c r="C63" s="17">
        <v>0</v>
      </c>
      <c r="D63" s="17">
        <v>0</v>
      </c>
      <c r="E63" s="17">
        <v>0</v>
      </c>
      <c r="F63" s="22" t="s">
        <v>251</v>
      </c>
      <c r="G63" s="18">
        <f>IF(AND(F65&lt;&gt;24363,135373&lt;&gt;0),IF(100*135373/(F65-24363)&lt;0.005,"*",100*135373/(F65-24363)),0)</f>
        <v>0.69999757485715319</v>
      </c>
    </row>
    <row r="64" spans="1:7" ht="15" x14ac:dyDescent="0.2">
      <c r="A64" s="11" t="s">
        <v>169</v>
      </c>
      <c r="B64" s="17">
        <v>0</v>
      </c>
      <c r="C64" s="17">
        <v>0</v>
      </c>
      <c r="D64" s="17">
        <v>0</v>
      </c>
      <c r="E64" s="17">
        <v>0</v>
      </c>
      <c r="F64" s="22" t="s">
        <v>252</v>
      </c>
      <c r="G64" s="18">
        <v>0</v>
      </c>
    </row>
    <row r="65" spans="1:7" ht="15" customHeight="1" x14ac:dyDescent="0.2">
      <c r="A65" s="19" t="s">
        <v>110</v>
      </c>
      <c r="B65" s="20">
        <f>0+0+0+0+0+0+0+0+0+0+0+0+0+0+0+0+0+0+0+0+0+0+0+0+0+0+0+0+0+0+0+0+0+0+0+0+0+0+0+0+0+0+0+0+0+0+0+0+0+0+0+0+0+0+0+0+0+0+0+0</f>
        <v>0</v>
      </c>
      <c r="C65" s="20">
        <f>0+0+0+0+0+0+0+0+0+0+0+0+0+0+0+0+0+0+0+0+0+0+0+0+0+0+0+0+0+0+0+0+0+0+0+0+0+0+0+0+0+0+0+0+0+0+0+0+0+0+0+0+0+0+0+0+0+0+0+0</f>
        <v>0</v>
      </c>
      <c r="D65" s="20">
        <f>0+0+0+0+0+0+0+0+0+0+0+0+0+0+0+0+0+0+0+0+0+0+0+0+0+0+0+0+0+0+0+0+0+0+0+0+0+0+0+0+0+0+0+0+0+0+0+0+0+0+0+0+0+0+0+0+0+0+0+0</f>
        <v>0</v>
      </c>
      <c r="E65" s="20">
        <f>SUM(C65:D65)</f>
        <v>0</v>
      </c>
      <c r="F65" s="20">
        <f>316229+56903+405211+195664+2366306+182493+172221+65096+61789+1115543+664702+65001+68491+785402+313111+121225+130015+319247+409243+64783+306988+286323+585125+204024+250807+303381+61007+86079+169634+55389+431441+153357+1417885+563064+48583+697283+233401+174726+783344+66282+330403+61007+389537+1956280+96306+45525+327425+288564+118630+242471+48328+23790+25776+14380+465063+1000+12411+135373+24363+0</f>
        <v>19363430</v>
      </c>
      <c r="G65" s="21" t="s">
        <v>253</v>
      </c>
    </row>
    <row r="66" spans="1:7" ht="15" customHeight="1" x14ac:dyDescent="0.2">
      <c r="A66" s="74" t="s">
        <v>171</v>
      </c>
      <c r="B66" s="74"/>
      <c r="C66" s="74"/>
      <c r="D66" s="74"/>
      <c r="E66" s="74"/>
      <c r="F66" s="74"/>
      <c r="G66" s="74"/>
    </row>
    <row r="67" spans="1:7" ht="45.75" customHeight="1" x14ac:dyDescent="0.2">
      <c r="A67" s="67" t="s">
        <v>254</v>
      </c>
      <c r="B67" s="67"/>
      <c r="C67" s="67"/>
      <c r="D67" s="67"/>
      <c r="E67" s="67"/>
      <c r="F67" s="67"/>
      <c r="G67" s="67"/>
    </row>
    <row r="68" spans="1:7" ht="15" customHeight="1" x14ac:dyDescent="0.2">
      <c r="A68" s="67" t="s">
        <v>255</v>
      </c>
      <c r="B68" s="67"/>
      <c r="C68" s="67"/>
      <c r="D68" s="67"/>
      <c r="E68" s="67"/>
      <c r="F68" s="67"/>
      <c r="G68" s="67"/>
    </row>
  </sheetData>
  <mergeCells count="7">
    <mergeCell ref="A68:G68"/>
    <mergeCell ref="A4:A5"/>
    <mergeCell ref="B4:B5"/>
    <mergeCell ref="F4:F5"/>
    <mergeCell ref="G4:G5"/>
    <mergeCell ref="A66:G66"/>
    <mergeCell ref="A67:G6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3"/>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257</v>
      </c>
    </row>
    <row r="2" spans="1:7" x14ac:dyDescent="0.2">
      <c r="A2" s="13" t="s">
        <v>258</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93007</v>
      </c>
      <c r="C6" s="17">
        <v>0</v>
      </c>
      <c r="D6" s="17">
        <v>93022</v>
      </c>
      <c r="E6" s="17">
        <v>93022</v>
      </c>
      <c r="F6" s="17">
        <v>83997</v>
      </c>
      <c r="G6" s="18">
        <f>IF(AND(F71&lt;&gt;0,83997&lt;&gt;0),IF(100*83997/(F71-0)&lt;0.005,"*",100*83997/(F71-0)),0)</f>
        <v>0.56336439281099904</v>
      </c>
    </row>
    <row r="7" spans="1:7" x14ac:dyDescent="0.2">
      <c r="A7" s="11" t="s">
        <v>112</v>
      </c>
      <c r="B7" s="17">
        <v>44397</v>
      </c>
      <c r="C7" s="17">
        <v>0</v>
      </c>
      <c r="D7" s="17">
        <v>44405</v>
      </c>
      <c r="E7" s="17">
        <v>44405</v>
      </c>
      <c r="F7" s="17">
        <v>40096</v>
      </c>
      <c r="G7" s="18">
        <f>IF(AND(F71&lt;&gt;0,40096&lt;&gt;0),IF(100*40096/(F71-0)&lt;0.005,"*",100*40096/(F71-0)),0)</f>
        <v>0.26892220786635018</v>
      </c>
    </row>
    <row r="8" spans="1:7" x14ac:dyDescent="0.2">
      <c r="A8" s="11" t="s">
        <v>113</v>
      </c>
      <c r="B8" s="17">
        <v>199407</v>
      </c>
      <c r="C8" s="17">
        <v>0</v>
      </c>
      <c r="D8" s="17">
        <v>199439</v>
      </c>
      <c r="E8" s="17">
        <v>199439</v>
      </c>
      <c r="F8" s="17">
        <v>180089</v>
      </c>
      <c r="G8" s="18">
        <f>IF(AND(F71&lt;&gt;0,180089&lt;&gt;0),IF(100*180089/(F71-0)&lt;0.005,"*",100*180089/(F71-0)),0)</f>
        <v>1.2078494486343558</v>
      </c>
    </row>
    <row r="9" spans="1:7" x14ac:dyDescent="0.2">
      <c r="A9" s="11" t="s">
        <v>114</v>
      </c>
      <c r="B9" s="17">
        <v>56546</v>
      </c>
      <c r="C9" s="17">
        <v>0</v>
      </c>
      <c r="D9" s="17">
        <v>56555</v>
      </c>
      <c r="E9" s="17">
        <v>56555</v>
      </c>
      <c r="F9" s="17">
        <v>51068</v>
      </c>
      <c r="G9" s="18">
        <f>IF(AND(F71&lt;&gt;0,51068&lt;&gt;0),IF(100*51068/(F71-0)&lt;0.005,"*",100*51068/(F71-0)),0)</f>
        <v>0.34251095648739949</v>
      </c>
    </row>
    <row r="10" spans="1:7" x14ac:dyDescent="0.2">
      <c r="A10" s="11" t="s">
        <v>115</v>
      </c>
      <c r="B10" s="17">
        <v>3635563</v>
      </c>
      <c r="C10" s="17">
        <v>0</v>
      </c>
      <c r="D10" s="17">
        <v>3636140</v>
      </c>
      <c r="E10" s="17">
        <v>3636140</v>
      </c>
      <c r="F10" s="17">
        <v>3283363</v>
      </c>
      <c r="G10" s="18">
        <f>IF(AND(F71&lt;&gt;0,3283363&lt;&gt;0),IF(100*3283363/(F71-0)&lt;0.005,"*",100*3283363/(F71-0)),0)</f>
        <v>22.021379369181044</v>
      </c>
    </row>
    <row r="11" spans="1:7" x14ac:dyDescent="0.2">
      <c r="A11" s="11" t="s">
        <v>116</v>
      </c>
      <c r="B11" s="17">
        <v>135608</v>
      </c>
      <c r="C11" s="17">
        <v>0</v>
      </c>
      <c r="D11" s="17">
        <v>135629</v>
      </c>
      <c r="E11" s="17">
        <v>135629</v>
      </c>
      <c r="F11" s="17">
        <v>122470</v>
      </c>
      <c r="G11" s="18">
        <f>IF(AND(F71&lt;&gt;0,122470&lt;&gt;0),IF(100*122470/(F71-0)&lt;0.005,"*",100*122470/(F71-0)),0)</f>
        <v>0.82140120703790664</v>
      </c>
    </row>
    <row r="12" spans="1:7" x14ac:dyDescent="0.2">
      <c r="A12" s="11" t="s">
        <v>117</v>
      </c>
      <c r="B12" s="17">
        <v>265908</v>
      </c>
      <c r="C12" s="17">
        <v>0</v>
      </c>
      <c r="D12" s="17">
        <v>265950</v>
      </c>
      <c r="E12" s="17">
        <v>265950</v>
      </c>
      <c r="F12" s="17">
        <v>240147</v>
      </c>
      <c r="G12" s="18">
        <f>IF(AND(F71&lt;&gt;0,240147&lt;&gt;0),IF(100*240147/(F71-0)&lt;0.005,"*",100*240147/(F71-0)),0)</f>
        <v>1.6106559620032022</v>
      </c>
    </row>
    <row r="13" spans="1:7" x14ac:dyDescent="0.2">
      <c r="A13" s="11" t="s">
        <v>118</v>
      </c>
      <c r="B13" s="17">
        <v>32184</v>
      </c>
      <c r="C13" s="17">
        <v>0</v>
      </c>
      <c r="D13" s="17">
        <v>32190</v>
      </c>
      <c r="E13" s="17">
        <v>32190</v>
      </c>
      <c r="F13" s="17">
        <v>29066</v>
      </c>
      <c r="G13" s="18">
        <f>IF(AND(F71&lt;&gt;0,29066&lt;&gt;0),IF(100*29066/(F71-0)&lt;0.005,"*",100*29066/(F71-0)),0)</f>
        <v>0.19494445565251731</v>
      </c>
    </row>
    <row r="14" spans="1:7" x14ac:dyDescent="0.2">
      <c r="A14" s="11" t="s">
        <v>119</v>
      </c>
      <c r="B14" s="17">
        <v>92304</v>
      </c>
      <c r="C14" s="17">
        <v>0</v>
      </c>
      <c r="D14" s="17">
        <v>92319</v>
      </c>
      <c r="E14" s="17">
        <v>92319</v>
      </c>
      <c r="F14" s="17">
        <v>83362</v>
      </c>
      <c r="G14" s="18">
        <f>IF(AND(F71&lt;&gt;0,83362&lt;&gt;0),IF(100*83362/(F71-0)&lt;0.005,"*",100*83362/(F71-0)),0)</f>
        <v>0.55910547416586898</v>
      </c>
    </row>
    <row r="15" spans="1:7" x14ac:dyDescent="0.2">
      <c r="A15" s="11" t="s">
        <v>120</v>
      </c>
      <c r="B15" s="17">
        <v>560484</v>
      </c>
      <c r="C15" s="17">
        <v>0</v>
      </c>
      <c r="D15" s="17">
        <v>560573</v>
      </c>
      <c r="E15" s="17">
        <v>560573</v>
      </c>
      <c r="F15" s="17">
        <v>506186</v>
      </c>
      <c r="G15" s="18">
        <f>IF(AND(F71&lt;&gt;0,506186&lt;&gt;0),IF(100*506186/(F71-0)&lt;0.005,"*",100*506186/(F71-0)),0)</f>
        <v>3.3949684933917679</v>
      </c>
    </row>
    <row r="16" spans="1:7" x14ac:dyDescent="0.2">
      <c r="A16" s="11" t="s">
        <v>121</v>
      </c>
      <c r="B16" s="17">
        <v>329650</v>
      </c>
      <c r="C16" s="17">
        <v>0</v>
      </c>
      <c r="D16" s="17">
        <v>329703</v>
      </c>
      <c r="E16" s="17">
        <v>329703</v>
      </c>
      <c r="F16" s="17">
        <v>297715</v>
      </c>
      <c r="G16" s="18">
        <f>IF(AND(F71&lt;&gt;0,297715&lt;&gt;0),IF(100*297715/(F71-0)&lt;0.005,"*",100*297715/(F71-0)),0)</f>
        <v>1.9967621487163418</v>
      </c>
    </row>
    <row r="17" spans="1:7" x14ac:dyDescent="0.2">
      <c r="A17" s="11" t="s">
        <v>122</v>
      </c>
      <c r="B17" s="17">
        <v>98578</v>
      </c>
      <c r="C17" s="17">
        <v>0</v>
      </c>
      <c r="D17" s="17">
        <v>98594</v>
      </c>
      <c r="E17" s="17">
        <v>98594</v>
      </c>
      <c r="F17" s="17">
        <v>89028</v>
      </c>
      <c r="G17" s="18">
        <f>IF(AND(F71&lt;&gt;0,89028&lt;&gt;0),IF(100*89028/(F71-0)&lt;0.005,"*",100*89028/(F71-0)),0)</f>
        <v>0.59710710100572184</v>
      </c>
    </row>
    <row r="18" spans="1:7" x14ac:dyDescent="0.2">
      <c r="A18" s="11" t="s">
        <v>123</v>
      </c>
      <c r="B18" s="17">
        <v>30307</v>
      </c>
      <c r="C18" s="17">
        <v>0</v>
      </c>
      <c r="D18" s="17">
        <v>30312</v>
      </c>
      <c r="E18" s="17">
        <v>30312</v>
      </c>
      <c r="F18" s="17">
        <v>27371</v>
      </c>
      <c r="G18" s="18">
        <f>IF(AND(F71&lt;&gt;0,27371&lt;&gt;0),IF(100*27371/(F71-0)&lt;0.005,"*",100*27371/(F71-0)),0)</f>
        <v>0.18357616100134352</v>
      </c>
    </row>
    <row r="19" spans="1:7" x14ac:dyDescent="0.2">
      <c r="A19" s="11" t="s">
        <v>124</v>
      </c>
      <c r="B19" s="17">
        <v>583126</v>
      </c>
      <c r="C19" s="17">
        <v>0</v>
      </c>
      <c r="D19" s="17">
        <v>583219</v>
      </c>
      <c r="E19" s="17">
        <v>583219</v>
      </c>
      <c r="F19" s="17">
        <v>526635</v>
      </c>
      <c r="G19" s="18">
        <f>IF(AND(F71&lt;&gt;0,526635&lt;&gt;0),IF(100*526635/(F71-0)&lt;0.005,"*",100*526635/(F71-0)),0)</f>
        <v>3.5321190876819464</v>
      </c>
    </row>
    <row r="20" spans="1:7" x14ac:dyDescent="0.2">
      <c r="A20" s="11" t="s">
        <v>125</v>
      </c>
      <c r="B20" s="17">
        <v>206117</v>
      </c>
      <c r="C20" s="17">
        <v>0</v>
      </c>
      <c r="D20" s="17">
        <v>206149</v>
      </c>
      <c r="E20" s="17">
        <v>206149</v>
      </c>
      <c r="F20" s="17">
        <v>186149</v>
      </c>
      <c r="G20" s="18">
        <f>IF(AND(F71&lt;&gt;0,186149&lt;&gt;0),IF(100*186149/(F71-0)&lt;0.005,"*",100*186149/(F71-0)),0)</f>
        <v>1.2484936171217382</v>
      </c>
    </row>
    <row r="21" spans="1:7" x14ac:dyDescent="0.2">
      <c r="A21" s="11" t="s">
        <v>126</v>
      </c>
      <c r="B21" s="17">
        <v>130558</v>
      </c>
      <c r="C21" s="17">
        <v>0</v>
      </c>
      <c r="D21" s="17">
        <v>130579</v>
      </c>
      <c r="E21" s="17">
        <v>130579</v>
      </c>
      <c r="F21" s="17">
        <v>117910</v>
      </c>
      <c r="G21" s="18">
        <f>IF(AND(F71&lt;&gt;0,117910&lt;&gt;0),IF(100*117910/(F71-0)&lt;0.005,"*",100*117910/(F71-0)),0)</f>
        <v>0.79081747629492594</v>
      </c>
    </row>
    <row r="22" spans="1:7" x14ac:dyDescent="0.2">
      <c r="A22" s="11" t="s">
        <v>127</v>
      </c>
      <c r="B22" s="17">
        <v>101478</v>
      </c>
      <c r="C22" s="17">
        <v>0</v>
      </c>
      <c r="D22" s="17">
        <v>101494</v>
      </c>
      <c r="E22" s="17">
        <v>101494</v>
      </c>
      <c r="F22" s="17">
        <v>91647</v>
      </c>
      <c r="G22" s="18">
        <f>IF(AND(F71&lt;&gt;0,91647&lt;&gt;0),IF(100*91647/(F71-0)&lt;0.005,"*",100*91647/(F71-0)),0)</f>
        <v>0.61467262530744693</v>
      </c>
    </row>
    <row r="23" spans="1:7" x14ac:dyDescent="0.2">
      <c r="A23" s="11" t="s">
        <v>128</v>
      </c>
      <c r="B23" s="17">
        <v>180689</v>
      </c>
      <c r="C23" s="17">
        <v>0</v>
      </c>
      <c r="D23" s="17">
        <v>180718</v>
      </c>
      <c r="E23" s="17">
        <v>180718</v>
      </c>
      <c r="F23" s="17">
        <v>163185</v>
      </c>
      <c r="G23" s="18">
        <f>IF(AND(F71&lt;&gt;0,163185&lt;&gt;0),IF(100*163185/(F71-0)&lt;0.005,"*",100*163185/(F71-0)),0)</f>
        <v>1.0944750222134465</v>
      </c>
    </row>
    <row r="24" spans="1:7" x14ac:dyDescent="0.2">
      <c r="A24" s="11" t="s">
        <v>129</v>
      </c>
      <c r="B24" s="17">
        <v>163431</v>
      </c>
      <c r="C24" s="17">
        <v>0</v>
      </c>
      <c r="D24" s="17">
        <v>163457</v>
      </c>
      <c r="E24" s="17">
        <v>163457</v>
      </c>
      <c r="F24" s="17">
        <v>147598</v>
      </c>
      <c r="G24" s="18">
        <f>IF(AND(F71&lt;&gt;0,147598&lt;&gt;0),IF(100*147598/(F71-0)&lt;0.005,"*",100*147598/(F71-0)),0)</f>
        <v>0.9899336601321217</v>
      </c>
    </row>
    <row r="25" spans="1:7" x14ac:dyDescent="0.2">
      <c r="A25" s="11" t="s">
        <v>130</v>
      </c>
      <c r="B25" s="17">
        <v>76847</v>
      </c>
      <c r="C25" s="17">
        <v>0</v>
      </c>
      <c r="D25" s="17">
        <v>76859</v>
      </c>
      <c r="E25" s="17">
        <v>76859</v>
      </c>
      <c r="F25" s="17">
        <v>69402</v>
      </c>
      <c r="G25" s="18">
        <f>IF(AND(F71&lt;&gt;0,69402&lt;&gt;0),IF(100*69402/(F71-0)&lt;0.005,"*",100*69402/(F71-0)),0)</f>
        <v>0.46547633355797174</v>
      </c>
    </row>
    <row r="26" spans="1:7" x14ac:dyDescent="0.2">
      <c r="A26" s="11" t="s">
        <v>131</v>
      </c>
      <c r="B26" s="17">
        <v>228342</v>
      </c>
      <c r="C26" s="17">
        <v>0</v>
      </c>
      <c r="D26" s="17">
        <v>228378</v>
      </c>
      <c r="E26" s="17">
        <v>228378</v>
      </c>
      <c r="F26" s="17">
        <v>206221</v>
      </c>
      <c r="G26" s="18">
        <f>IF(AND(F71&lt;&gt;0,206221&lt;&gt;0),IF(100*206221/(F71-0)&lt;0.005,"*",100*206221/(F71-0)),0)</f>
        <v>1.3831156880588238</v>
      </c>
    </row>
    <row r="27" spans="1:7" x14ac:dyDescent="0.2">
      <c r="A27" s="11" t="s">
        <v>132</v>
      </c>
      <c r="B27" s="17">
        <v>457855</v>
      </c>
      <c r="C27" s="17">
        <v>0</v>
      </c>
      <c r="D27" s="17">
        <v>457928</v>
      </c>
      <c r="E27" s="17">
        <v>457928</v>
      </c>
      <c r="F27" s="17">
        <v>413500</v>
      </c>
      <c r="G27" s="18">
        <f>IF(AND(F71&lt;&gt;0,413500&lt;&gt;0),IF(100*413500/(F71-0)&lt;0.005,"*",100*413500/(F71-0)),0)</f>
        <v>2.7733273382066987</v>
      </c>
    </row>
    <row r="28" spans="1:7" x14ac:dyDescent="0.2">
      <c r="A28" s="11" t="s">
        <v>133</v>
      </c>
      <c r="B28" s="17">
        <v>772794</v>
      </c>
      <c r="C28" s="17">
        <v>0</v>
      </c>
      <c r="D28" s="17">
        <v>772917</v>
      </c>
      <c r="E28" s="17">
        <v>772917</v>
      </c>
      <c r="F28" s="17">
        <v>697928</v>
      </c>
      <c r="G28" s="18">
        <f>IF(AND(F71&lt;&gt;0,697928&lt;&gt;0),IF(100*697928/(F71-0)&lt;0.005,"*",100*697928/(F71-0)),0)</f>
        <v>4.6809741293831317</v>
      </c>
    </row>
    <row r="29" spans="1:7" x14ac:dyDescent="0.2">
      <c r="A29" s="11" t="s">
        <v>134</v>
      </c>
      <c r="B29" s="17">
        <v>259569</v>
      </c>
      <c r="C29" s="17">
        <v>0</v>
      </c>
      <c r="D29" s="17">
        <v>259610</v>
      </c>
      <c r="E29" s="17">
        <v>259610</v>
      </c>
      <c r="F29" s="17">
        <v>234423</v>
      </c>
      <c r="G29" s="18">
        <f>IF(AND(F71&lt;&gt;0,234423&lt;&gt;0),IF(100*234423/(F71-0)&lt;0.005,"*",100*234423/(F71-0)),0)</f>
        <v>1.5722653315705657</v>
      </c>
    </row>
    <row r="30" spans="1:7" x14ac:dyDescent="0.2">
      <c r="A30" s="11" t="s">
        <v>135</v>
      </c>
      <c r="B30" s="17">
        <v>86481</v>
      </c>
      <c r="C30" s="17">
        <v>0</v>
      </c>
      <c r="D30" s="17">
        <v>86495</v>
      </c>
      <c r="E30" s="17">
        <v>86495</v>
      </c>
      <c r="F30" s="17">
        <v>78103</v>
      </c>
      <c r="G30" s="18">
        <f>IF(AND(F71&lt;&gt;0,78103&lt;&gt;0),IF(100*78103/(F71-0)&lt;0.005,"*",100*78103/(F71-0)),0)</f>
        <v>0.52383357943399711</v>
      </c>
    </row>
    <row r="31" spans="1:7" x14ac:dyDescent="0.2">
      <c r="A31" s="11" t="s">
        <v>136</v>
      </c>
      <c r="B31" s="17">
        <v>216336</v>
      </c>
      <c r="C31" s="17">
        <v>0</v>
      </c>
      <c r="D31" s="17">
        <v>216370</v>
      </c>
      <c r="E31" s="17">
        <v>216370</v>
      </c>
      <c r="F31" s="17">
        <v>195378</v>
      </c>
      <c r="G31" s="18">
        <f>IF(AND(F71&lt;&gt;0,195378&lt;&gt;0),IF(100*195378/(F71-0)&lt;0.005,"*",100*195378/(F71-0)),0)</f>
        <v>1.310392137083793</v>
      </c>
    </row>
    <row r="32" spans="1:7" x14ac:dyDescent="0.2">
      <c r="A32" s="11" t="s">
        <v>137</v>
      </c>
      <c r="B32" s="17">
        <v>37889</v>
      </c>
      <c r="C32" s="17">
        <v>0</v>
      </c>
      <c r="D32" s="17">
        <v>37895</v>
      </c>
      <c r="E32" s="17">
        <v>37895</v>
      </c>
      <c r="F32" s="17">
        <v>34218</v>
      </c>
      <c r="G32" s="18">
        <f>IF(AND(F71&lt;&gt;0,34218&lt;&gt;0),IF(100*34218/(F71-0)&lt;0.005,"*",100*34218/(F71-0)),0)</f>
        <v>0.22949870582528856</v>
      </c>
    </row>
    <row r="33" spans="1:7" x14ac:dyDescent="0.2">
      <c r="A33" s="11" t="s">
        <v>138</v>
      </c>
      <c r="B33" s="17">
        <v>56627</v>
      </c>
      <c r="C33" s="17">
        <v>0</v>
      </c>
      <c r="D33" s="17">
        <v>56636</v>
      </c>
      <c r="E33" s="17">
        <v>56636</v>
      </c>
      <c r="F33" s="17">
        <v>51141</v>
      </c>
      <c r="G33" s="18">
        <f>IF(AND(F71&lt;&gt;0,51141&lt;&gt;0),IF(100*51141/(F71-0)&lt;0.005,"*",100*51141/(F71-0)),0)</f>
        <v>0.34300056445762706</v>
      </c>
    </row>
    <row r="34" spans="1:7" x14ac:dyDescent="0.2">
      <c r="A34" s="11" t="s">
        <v>139</v>
      </c>
      <c r="B34" s="17">
        <v>43762</v>
      </c>
      <c r="C34" s="17">
        <v>0</v>
      </c>
      <c r="D34" s="17">
        <v>43769</v>
      </c>
      <c r="E34" s="17">
        <v>43769</v>
      </c>
      <c r="F34" s="17">
        <v>39523</v>
      </c>
      <c r="G34" s="18">
        <f>IF(AND(F71&lt;&gt;0,39523&lt;&gt;0),IF(100*39523/(F71-0)&lt;0.005,"*",100*39523/(F71-0)),0)</f>
        <v>0.26507912064798878</v>
      </c>
    </row>
    <row r="35" spans="1:7" x14ac:dyDescent="0.2">
      <c r="A35" s="11" t="s">
        <v>140</v>
      </c>
      <c r="B35" s="17">
        <v>38394</v>
      </c>
      <c r="C35" s="17">
        <v>0</v>
      </c>
      <c r="D35" s="17">
        <v>38400</v>
      </c>
      <c r="E35" s="17">
        <v>38400</v>
      </c>
      <c r="F35" s="17">
        <v>34675</v>
      </c>
      <c r="G35" s="18">
        <f>IF(AND(F71&lt;&gt;0,34675&lt;&gt;0),IF(100*34675/(F71-0)&lt;0.005,"*",100*34675/(F71-0)),0)</f>
        <v>0.23256378585808291</v>
      </c>
    </row>
    <row r="36" spans="1:7" x14ac:dyDescent="0.2">
      <c r="A36" s="11" t="s">
        <v>141</v>
      </c>
      <c r="B36" s="17">
        <v>402702</v>
      </c>
      <c r="C36" s="17">
        <v>0</v>
      </c>
      <c r="D36" s="17">
        <v>402765</v>
      </c>
      <c r="E36" s="17">
        <v>402765</v>
      </c>
      <c r="F36" s="17">
        <v>363690</v>
      </c>
      <c r="G36" s="18">
        <f>IF(AND(F71&lt;&gt;0,363690&lt;&gt;0),IF(100*363690/(F71-0)&lt;0.005,"*",100*363690/(F71-0)),0)</f>
        <v>2.439253735507604</v>
      </c>
    </row>
    <row r="37" spans="1:7" x14ac:dyDescent="0.2">
      <c r="A37" s="11" t="s">
        <v>142</v>
      </c>
      <c r="B37" s="17">
        <v>109920</v>
      </c>
      <c r="C37" s="17">
        <v>0</v>
      </c>
      <c r="D37" s="17">
        <v>109937</v>
      </c>
      <c r="E37" s="17">
        <v>109937</v>
      </c>
      <c r="F37" s="17">
        <v>99271</v>
      </c>
      <c r="G37" s="18">
        <f>IF(AND(F71&lt;&gt;0,99271&lt;&gt;0),IF(100*99271/(F71-0)&lt;0.005,"*",100*99271/(F71-0)),0)</f>
        <v>0.66580647688299199</v>
      </c>
    </row>
    <row r="38" spans="1:7" x14ac:dyDescent="0.2">
      <c r="A38" s="11" t="s">
        <v>143</v>
      </c>
      <c r="B38" s="17">
        <v>2434869</v>
      </c>
      <c r="C38" s="17">
        <v>0</v>
      </c>
      <c r="D38" s="17">
        <v>2435256</v>
      </c>
      <c r="E38" s="17">
        <v>2435256</v>
      </c>
      <c r="F38" s="17">
        <v>2198987</v>
      </c>
      <c r="G38" s="18">
        <f>IF(AND(F71&lt;&gt;0,2198987&lt;&gt;0),IF(100*2198987/(F71-0)&lt;0.005,"*",100*2198987/(F71-0)),0)</f>
        <v>14.748514542832247</v>
      </c>
    </row>
    <row r="39" spans="1:7" x14ac:dyDescent="0.2">
      <c r="A39" s="11" t="s">
        <v>144</v>
      </c>
      <c r="B39" s="17">
        <v>300438</v>
      </c>
      <c r="C39" s="17">
        <v>0</v>
      </c>
      <c r="D39" s="17">
        <v>300485</v>
      </c>
      <c r="E39" s="17">
        <v>300485</v>
      </c>
      <c r="F39" s="17">
        <v>271332</v>
      </c>
      <c r="G39" s="18">
        <f>IF(AND(F71&lt;&gt;0,271332&lt;&gt;0),IF(100*271332/(F71-0)&lt;0.005,"*",100*271332/(F71-0)),0)</f>
        <v>1.8198124627093109</v>
      </c>
    </row>
    <row r="40" spans="1:7" x14ac:dyDescent="0.2">
      <c r="A40" s="11" t="s">
        <v>145</v>
      </c>
      <c r="B40" s="17">
        <v>26313</v>
      </c>
      <c r="C40" s="17">
        <v>0</v>
      </c>
      <c r="D40" s="17">
        <v>26317</v>
      </c>
      <c r="E40" s="17">
        <v>26317</v>
      </c>
      <c r="F40" s="17">
        <v>23764</v>
      </c>
      <c r="G40" s="18">
        <f>IF(AND(F71&lt;&gt;0,23764&lt;&gt;0),IF(100*23764/(F71-0)&lt;0.005,"*",100*23764/(F71-0)),0)</f>
        <v>0.15938416170530589</v>
      </c>
    </row>
    <row r="41" spans="1:7" x14ac:dyDescent="0.2">
      <c r="A41" s="11" t="s">
        <v>146</v>
      </c>
      <c r="B41" s="17">
        <v>725566</v>
      </c>
      <c r="C41" s="17">
        <v>0</v>
      </c>
      <c r="D41" s="17">
        <v>725681</v>
      </c>
      <c r="E41" s="17">
        <v>725681</v>
      </c>
      <c r="F41" s="17">
        <v>655275</v>
      </c>
      <c r="G41" s="18">
        <f>IF(AND(F71&lt;&gt;0,655275&lt;&gt;0),IF(100*655275/(F71-0)&lt;0.005,"*",100*655275/(F71-0)),0)</f>
        <v>4.3949022286418247</v>
      </c>
    </row>
    <row r="42" spans="1:7" x14ac:dyDescent="0.2">
      <c r="A42" s="11" t="s">
        <v>147</v>
      </c>
      <c r="B42" s="17">
        <v>144793</v>
      </c>
      <c r="C42" s="17">
        <v>0</v>
      </c>
      <c r="D42" s="17">
        <v>144816</v>
      </c>
      <c r="E42" s="17">
        <v>144816</v>
      </c>
      <c r="F42" s="17">
        <v>130766</v>
      </c>
      <c r="G42" s="18">
        <f>IF(AND(F71&lt;&gt;0,130766&lt;&gt;0),IF(100*130766/(F71-0)&lt;0.005,"*",100*130766/(F71-0)),0)</f>
        <v>0.87704213472294357</v>
      </c>
    </row>
    <row r="43" spans="1:7" x14ac:dyDescent="0.2">
      <c r="A43" s="11" t="s">
        <v>148</v>
      </c>
      <c r="B43" s="17">
        <v>165836</v>
      </c>
      <c r="C43" s="17">
        <v>0</v>
      </c>
      <c r="D43" s="17">
        <v>165862</v>
      </c>
      <c r="E43" s="17">
        <v>165862</v>
      </c>
      <c r="F43" s="17">
        <v>149770</v>
      </c>
      <c r="G43" s="18">
        <f>IF(AND(F71&lt;&gt;0,149770&lt;&gt;0),IF(100*149770/(F71-0)&lt;0.005,"*",100*149770/(F71-0)),0)</f>
        <v>1.0045011739860152</v>
      </c>
    </row>
    <row r="44" spans="1:7" x14ac:dyDescent="0.2">
      <c r="A44" s="11" t="s">
        <v>149</v>
      </c>
      <c r="B44" s="17">
        <v>717125</v>
      </c>
      <c r="C44" s="17">
        <v>0</v>
      </c>
      <c r="D44" s="17">
        <v>717239</v>
      </c>
      <c r="E44" s="17">
        <v>717239</v>
      </c>
      <c r="F44" s="17">
        <v>647652</v>
      </c>
      <c r="G44" s="18">
        <f>IF(AND(F71&lt;&gt;0,647652&lt;&gt;0),IF(100*647652/(F71-0)&lt;0.005,"*",100*647652/(F71-0)),0)</f>
        <v>4.3437750840247764</v>
      </c>
    </row>
    <row r="45" spans="1:7" x14ac:dyDescent="0.2">
      <c r="A45" s="11" t="s">
        <v>150</v>
      </c>
      <c r="B45" s="17">
        <v>94292</v>
      </c>
      <c r="C45" s="17">
        <v>0</v>
      </c>
      <c r="D45" s="17">
        <v>94307</v>
      </c>
      <c r="E45" s="17">
        <v>94307</v>
      </c>
      <c r="F45" s="17">
        <v>85157</v>
      </c>
      <c r="G45" s="18">
        <f>IF(AND(F71&lt;&gt;0,85157&lt;&gt;0),IF(100*85157/(F71-0)&lt;0.005,"*",100*85157/(F71-0)),0)</f>
        <v>0.57114446466666957</v>
      </c>
    </row>
    <row r="46" spans="1:7" x14ac:dyDescent="0.2">
      <c r="A46" s="11" t="s">
        <v>151</v>
      </c>
      <c r="B46" s="17">
        <v>99638</v>
      </c>
      <c r="C46" s="17">
        <v>0</v>
      </c>
      <c r="D46" s="17">
        <v>99654</v>
      </c>
      <c r="E46" s="17">
        <v>99654</v>
      </c>
      <c r="F46" s="17">
        <v>89985</v>
      </c>
      <c r="G46" s="18">
        <f>IF(AND(F71&lt;&gt;0,89985&lt;&gt;0),IF(100*89985/(F71-0)&lt;0.005,"*",100*89985/(F71-0)),0)</f>
        <v>0.60352566028665</v>
      </c>
    </row>
    <row r="47" spans="1:7" x14ac:dyDescent="0.2">
      <c r="A47" s="11" t="s">
        <v>152</v>
      </c>
      <c r="B47" s="17">
        <v>21207</v>
      </c>
      <c r="C47" s="17">
        <v>0</v>
      </c>
      <c r="D47" s="17">
        <v>21211</v>
      </c>
      <c r="E47" s="17">
        <v>21211</v>
      </c>
      <c r="F47" s="17">
        <v>19153</v>
      </c>
      <c r="G47" s="18">
        <f>IF(AND(F71&lt;&gt;0,19153&lt;&gt;0),IF(100*19153/(F71-0)&lt;0.005,"*",100*19153/(F71-0)),0)</f>
        <v>0.12845837607901547</v>
      </c>
    </row>
    <row r="48" spans="1:7" x14ac:dyDescent="0.2">
      <c r="A48" s="11" t="s">
        <v>153</v>
      </c>
      <c r="B48" s="17">
        <v>190892</v>
      </c>
      <c r="C48" s="17">
        <v>0</v>
      </c>
      <c r="D48" s="17">
        <v>190922</v>
      </c>
      <c r="E48" s="17">
        <v>190922</v>
      </c>
      <c r="F48" s="17">
        <v>172399</v>
      </c>
      <c r="G48" s="18">
        <f>IF(AND(F71&lt;&gt;0,172399&lt;&gt;0),IF(100*172399/(F71-0)&lt;0.005,"*",100*172399/(F71-0)),0)</f>
        <v>1.1562729377980572</v>
      </c>
    </row>
    <row r="49" spans="1:7" x14ac:dyDescent="0.2">
      <c r="A49" s="11" t="s">
        <v>154</v>
      </c>
      <c r="B49" s="17">
        <v>484652</v>
      </c>
      <c r="C49" s="17">
        <v>0</v>
      </c>
      <c r="D49" s="17">
        <v>484729</v>
      </c>
      <c r="E49" s="17">
        <v>484729</v>
      </c>
      <c r="F49" s="17">
        <v>437701</v>
      </c>
      <c r="G49" s="18">
        <f>IF(AND(F71&lt;&gt;0,437701&lt;&gt;0),IF(100*437701/(F71-0)&lt;0.005,"*",100*437701/(F71-0)),0)</f>
        <v>2.9356424407748736</v>
      </c>
    </row>
    <row r="50" spans="1:7" x14ac:dyDescent="0.2">
      <c r="A50" s="11" t="s">
        <v>155</v>
      </c>
      <c r="B50" s="17">
        <v>75356</v>
      </c>
      <c r="C50" s="17">
        <v>0</v>
      </c>
      <c r="D50" s="17">
        <v>75368</v>
      </c>
      <c r="E50" s="17">
        <v>75368</v>
      </c>
      <c r="F50" s="17">
        <v>68056</v>
      </c>
      <c r="G50" s="18">
        <f>IF(AND(F71&lt;&gt;0,68056&lt;&gt;0),IF(100*68056/(F71-0)&lt;0.005,"*",100*68056/(F71-0)),0)</f>
        <v>0.45644876742199542</v>
      </c>
    </row>
    <row r="51" spans="1:7" x14ac:dyDescent="0.2">
      <c r="A51" s="11" t="s">
        <v>156</v>
      </c>
      <c r="B51" s="17">
        <v>47197</v>
      </c>
      <c r="C51" s="17">
        <v>0</v>
      </c>
      <c r="D51" s="17">
        <v>47204</v>
      </c>
      <c r="E51" s="17">
        <v>47204</v>
      </c>
      <c r="F51" s="17">
        <v>42626</v>
      </c>
      <c r="G51" s="18">
        <f>IF(AND(F71&lt;&gt;0,42626&lt;&gt;0),IF(100*42626/(F71-0)&lt;0.005,"*",100*42626/(F71-0)),0)</f>
        <v>0.28589081286190748</v>
      </c>
    </row>
    <row r="52" spans="1:7" x14ac:dyDescent="0.2">
      <c r="A52" s="11" t="s">
        <v>157</v>
      </c>
      <c r="B52" s="17">
        <v>157763</v>
      </c>
      <c r="C52" s="17">
        <v>0</v>
      </c>
      <c r="D52" s="17">
        <v>157788</v>
      </c>
      <c r="E52" s="17">
        <v>157788</v>
      </c>
      <c r="F52" s="17">
        <v>142479</v>
      </c>
      <c r="G52" s="18">
        <f>IF(AND(F71&lt;&gt;0,142479&lt;&gt;0),IF(100*142479/(F71-0)&lt;0.005,"*",100*142479/(F71-0)),0)</f>
        <v>0.95560073958972735</v>
      </c>
    </row>
    <row r="53" spans="1:7" x14ac:dyDescent="0.2">
      <c r="A53" s="11" t="s">
        <v>158</v>
      </c>
      <c r="B53" s="17">
        <v>379058</v>
      </c>
      <c r="C53" s="17">
        <v>0</v>
      </c>
      <c r="D53" s="17">
        <v>379118</v>
      </c>
      <c r="E53" s="17">
        <v>379118</v>
      </c>
      <c r="F53" s="17">
        <v>342336</v>
      </c>
      <c r="G53" s="18">
        <f>IF(AND(F71&lt;&gt;0,342336&lt;&gt;0),IF(100*342336/(F71-0)&lt;0.005,"*",100*342336/(F71-0)),0)</f>
        <v>2.2960333437783031</v>
      </c>
    </row>
    <row r="54" spans="1:7" x14ac:dyDescent="0.2">
      <c r="A54" s="11" t="s">
        <v>159</v>
      </c>
      <c r="B54" s="17">
        <v>109813</v>
      </c>
      <c r="C54" s="17">
        <v>0</v>
      </c>
      <c r="D54" s="17">
        <v>109830</v>
      </c>
      <c r="E54" s="17">
        <v>109830</v>
      </c>
      <c r="F54" s="17">
        <v>99174</v>
      </c>
      <c r="G54" s="18">
        <f>IF(AND(F71&lt;&gt;0,99174&lt;&gt;0),IF(100*99174/(F71-0)&lt;0.005,"*",100*99174/(F71-0)),0)</f>
        <v>0.6651559019088541</v>
      </c>
    </row>
    <row r="55" spans="1:7" x14ac:dyDescent="0.2">
      <c r="A55" s="11" t="s">
        <v>160</v>
      </c>
      <c r="B55" s="17">
        <v>312846</v>
      </c>
      <c r="C55" s="17">
        <v>0</v>
      </c>
      <c r="D55" s="17">
        <v>312896</v>
      </c>
      <c r="E55" s="17">
        <v>312896</v>
      </c>
      <c r="F55" s="17">
        <v>282538</v>
      </c>
      <c r="G55" s="18">
        <f>IF(AND(F71&lt;&gt;0,282538&lt;&gt;0),IF(100*282538/(F71-0)&lt;0.005,"*",100*282538/(F71-0)),0)</f>
        <v>1.8949706396184867</v>
      </c>
    </row>
    <row r="56" spans="1:7" x14ac:dyDescent="0.2">
      <c r="A56" s="11" t="s">
        <v>161</v>
      </c>
      <c r="B56" s="17">
        <v>18429</v>
      </c>
      <c r="C56" s="17">
        <v>0</v>
      </c>
      <c r="D56" s="17">
        <v>18432</v>
      </c>
      <c r="E56" s="17">
        <v>18432</v>
      </c>
      <c r="F56" s="17">
        <v>16643</v>
      </c>
      <c r="G56" s="18">
        <f>IF(AND(F71&lt;&gt;0,16643&lt;&gt;0),IF(100*16643/(F71-0)&lt;0.005,"*",100*16643/(F71-0)),0)</f>
        <v>0.11162391025338353</v>
      </c>
    </row>
    <row r="57" spans="1:7" x14ac:dyDescent="0.2">
      <c r="A57" s="11" t="s">
        <v>162</v>
      </c>
      <c r="B57" s="17">
        <v>0</v>
      </c>
      <c r="C57" s="17">
        <v>0</v>
      </c>
      <c r="D57" s="17">
        <v>0</v>
      </c>
      <c r="E57" s="17">
        <v>0</v>
      </c>
      <c r="F57" s="17">
        <v>0</v>
      </c>
      <c r="G57" s="18">
        <f>IF(AND(F71&lt;&gt;0,0&lt;&gt;0),IF(100*0/(F71-0)&lt;0.005,"*",100*0/(F71-0)),0)</f>
        <v>0</v>
      </c>
    </row>
    <row r="58" spans="1:7" x14ac:dyDescent="0.2">
      <c r="A58" s="11" t="s">
        <v>163</v>
      </c>
      <c r="B58" s="17">
        <v>3454</v>
      </c>
      <c r="C58" s="17">
        <v>0</v>
      </c>
      <c r="D58" s="17">
        <v>3454</v>
      </c>
      <c r="E58" s="17">
        <v>3454</v>
      </c>
      <c r="F58" s="17">
        <v>3119</v>
      </c>
      <c r="G58" s="18">
        <f>IF(AND(F71&lt;&gt;0,3119&lt;&gt;0),IF(100*3119/(F71-0)&lt;0.005,"*",100*3119/(F71-0)),0)</f>
        <v>2.0919003549858994E-2</v>
      </c>
    </row>
    <row r="59" spans="1:7" x14ac:dyDescent="0.2">
      <c r="A59" s="11" t="s">
        <v>164</v>
      </c>
      <c r="B59" s="17">
        <v>0</v>
      </c>
      <c r="C59" s="17">
        <v>0</v>
      </c>
      <c r="D59" s="17">
        <v>0</v>
      </c>
      <c r="E59" s="17">
        <v>0</v>
      </c>
      <c r="F59" s="17">
        <v>0</v>
      </c>
      <c r="G59" s="18">
        <f>IF(AND(F71&lt;&gt;0,0&lt;&gt;0),IF(100*0/(F71-0)&lt;0.005,"*",100*0/(F71-0)),0)</f>
        <v>0</v>
      </c>
    </row>
    <row r="60" spans="1:7" x14ac:dyDescent="0.2">
      <c r="A60" s="11" t="s">
        <v>165</v>
      </c>
      <c r="B60" s="17">
        <v>71326</v>
      </c>
      <c r="C60" s="17">
        <v>0</v>
      </c>
      <c r="D60" s="17">
        <v>71326</v>
      </c>
      <c r="E60" s="17">
        <v>71326</v>
      </c>
      <c r="F60" s="17">
        <v>64406</v>
      </c>
      <c r="G60" s="18">
        <f>IF(AND(F71&lt;&gt;0,64406&lt;&gt;0),IF(100*64406/(F71-0)&lt;0.005,"*",100*64406/(F71-0)),0)</f>
        <v>0.43196836891061824</v>
      </c>
    </row>
    <row r="61" spans="1:7" x14ac:dyDescent="0.2">
      <c r="A61" s="11" t="s">
        <v>166</v>
      </c>
      <c r="B61" s="17">
        <v>0</v>
      </c>
      <c r="C61" s="17">
        <v>0</v>
      </c>
      <c r="D61" s="17">
        <v>0</v>
      </c>
      <c r="E61" s="17">
        <v>0</v>
      </c>
      <c r="F61" s="17">
        <v>0</v>
      </c>
      <c r="G61" s="18">
        <f>IF(AND(F71&lt;&gt;0,0&lt;&gt;0),IF(100*0/(F71-0)&lt;0.005,"*",100*0/(F71-0)),0)</f>
        <v>0</v>
      </c>
    </row>
    <row r="62" spans="1:7" x14ac:dyDescent="0.2">
      <c r="A62" s="11" t="s">
        <v>167</v>
      </c>
      <c r="B62" s="17">
        <v>2837</v>
      </c>
      <c r="C62" s="17">
        <v>0</v>
      </c>
      <c r="D62" s="17">
        <v>2837</v>
      </c>
      <c r="E62" s="17">
        <v>2837</v>
      </c>
      <c r="F62" s="17">
        <v>2562</v>
      </c>
      <c r="G62" s="18">
        <f>IF(AND(F71&lt;&gt;0,2562&lt;&gt;0),IF(100*2562/(F71-0)&lt;0.005,"*",100*2562/(F71-0)),0)</f>
        <v>1.7183227667437878E-2</v>
      </c>
    </row>
    <row r="63" spans="1:7" x14ac:dyDescent="0.2">
      <c r="A63" s="11" t="s">
        <v>168</v>
      </c>
      <c r="B63" s="17">
        <v>199879</v>
      </c>
      <c r="C63" s="17">
        <v>0</v>
      </c>
      <c r="D63" s="17">
        <v>198734</v>
      </c>
      <c r="E63" s="17">
        <v>198734</v>
      </c>
      <c r="F63" s="17">
        <v>179453</v>
      </c>
      <c r="G63" s="18">
        <f>IF(AND(F71&lt;&gt;0,179453&lt;&gt;0),IF(100*179453/(F71-0)&lt;0.005,"*",100*179453/(F71-0)),0)</f>
        <v>1.2035838230307296</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IF(AND(F71&lt;&gt;0,0&lt;&gt;0),IF(100*0/(F71-0)&lt;0.005,"*",100*0/(F71-0)),0)</f>
        <v>0</v>
      </c>
    </row>
    <row r="66" spans="1:7" x14ac:dyDescent="0.2">
      <c r="A66" s="11" t="s">
        <v>260</v>
      </c>
      <c r="B66" s="17">
        <v>0</v>
      </c>
      <c r="C66" s="17">
        <v>0</v>
      </c>
      <c r="D66" s="17">
        <v>0</v>
      </c>
      <c r="E66" s="17">
        <v>0</v>
      </c>
      <c r="F66" s="17">
        <v>0</v>
      </c>
      <c r="G66" s="18">
        <f>IF(AND(F71&lt;&gt;0,0&lt;&gt;0),IF(100*0/(F71-0)&lt;0.005,"*",100*0/(F71-0)),0)</f>
        <v>0</v>
      </c>
    </row>
    <row r="67" spans="1:7" x14ac:dyDescent="0.2">
      <c r="A67" s="11" t="s">
        <v>261</v>
      </c>
      <c r="B67" s="17">
        <v>0</v>
      </c>
      <c r="C67" s="17">
        <v>0</v>
      </c>
      <c r="D67" s="17">
        <v>0</v>
      </c>
      <c r="E67" s="17">
        <v>0</v>
      </c>
      <c r="F67" s="17">
        <v>0</v>
      </c>
      <c r="G67" s="18">
        <f>IF(AND(F71&lt;&gt;0,0&lt;&gt;0),IF(100*0/(F71-0)&lt;0.005,"*",100*0/(F71-0)),0)</f>
        <v>0</v>
      </c>
    </row>
    <row r="68" spans="1:7" x14ac:dyDescent="0.2">
      <c r="A68" s="11" t="s">
        <v>262</v>
      </c>
      <c r="B68" s="17">
        <v>0</v>
      </c>
      <c r="C68" s="17">
        <v>0</v>
      </c>
      <c r="D68" s="17">
        <v>0</v>
      </c>
      <c r="E68" s="17">
        <v>0</v>
      </c>
      <c r="F68" s="17">
        <v>0</v>
      </c>
      <c r="G68" s="18">
        <f>IF(AND(F71&lt;&gt;0,0&lt;&gt;0),IF(100*0/(F71-0)&lt;0.005,"*",100*0/(F71-0)),0)</f>
        <v>0</v>
      </c>
    </row>
    <row r="69" spans="1:7" x14ac:dyDescent="0.2">
      <c r="A69" s="11" t="s">
        <v>263</v>
      </c>
      <c r="B69" s="17">
        <v>0</v>
      </c>
      <c r="C69" s="17">
        <v>0</v>
      </c>
      <c r="D69" s="17">
        <v>0</v>
      </c>
      <c r="E69" s="17">
        <v>0</v>
      </c>
      <c r="F69" s="17">
        <v>0</v>
      </c>
      <c r="G69" s="18">
        <f>IF(AND(F71&lt;&gt;0,0&lt;&gt;0),IF(100*0/(F71-0)&lt;0.005,"*",100*0/(F71-0)),0)</f>
        <v>0</v>
      </c>
    </row>
    <row r="70" spans="1:7" x14ac:dyDescent="0.2">
      <c r="A70" s="11" t="s">
        <v>184</v>
      </c>
      <c r="B70" s="17">
        <v>0</v>
      </c>
      <c r="C70" s="17">
        <v>0</v>
      </c>
      <c r="D70" s="17">
        <v>0</v>
      </c>
      <c r="E70" s="17">
        <v>0</v>
      </c>
      <c r="F70" s="17">
        <v>0</v>
      </c>
      <c r="G70" s="18">
        <f>IF(AND(F71&lt;&gt;0,0&lt;&gt;0),IF(100*0/(F71-0)&lt;0.005,"*",100*0/(F71-0)),0)</f>
        <v>0</v>
      </c>
    </row>
    <row r="71" spans="1:7" ht="15" customHeight="1" x14ac:dyDescent="0.2">
      <c r="A71" s="19" t="s">
        <v>110</v>
      </c>
      <c r="B71" s="20">
        <f>93007+44397+199407+56546+3635563+135608+265908+32184+92304+560484+329650+98578+30307+583126+206117+130558+101478+180689+163431+76847+228342+457855+772794+259569+86481+216336+37889+56627+43762+38394+402702+109920+2434869+300438+26313+725566+144793+165836+717125+94292+99638+21207+190892+484652+75356+47197+157763+379058+109813+312846+18429+0+3454+0+71326+0+2837+199879+0+0+0+0+0+0+0+0</f>
        <v>16510439</v>
      </c>
      <c r="C71" s="20">
        <f>0+0+0+0+0+0+0+0+0+0+0+0+0+0+0+0+0+0+0+0+0+0+0+0+0+0+0+0+0+0+0+0+0+0+0+0+0+0+0+0+0+0+0+0+0+0+0+0+0+0+0+0+0+0+0+0+0+0+0+0+0+0+0+0+0+0</f>
        <v>0</v>
      </c>
      <c r="D71" s="20">
        <f>93022+44405+199439+56555+3636140+135629+265950+32190+92319+560573+329703+98594+30312+583219+206149+130579+101494+180718+163457+76859+228378+457928+772917+259610+86495+216370+37895+56636+43769+38400+402765+109937+2435256+300485+26317+725681+144816+165862+717239+94307+99654+21211+190922+484729+75368+47204+157788+379118+109830+312896+18432+0+3454+0+71326+0+2837+198734+0+0+0+0+0+0+0+0</f>
        <v>16511872</v>
      </c>
      <c r="E71" s="20">
        <f>SUM(C71:D71)</f>
        <v>16511872</v>
      </c>
      <c r="F71" s="20">
        <f>83997+40096+180089+51068+3283363+122470+240147+29066+83362+506186+297715+89028+27371+526635+186149+117910+91647+163185+147598+69402+206221+413500+697928+234423+78103+195378+34218+51141+39523+34675+363690+99271+2198987+271332+23764+655275+130766+149770+647652+85157+89985+19153+172399+437701+68056+42626+142479+342336+99174+282538+16643+0+3119+0+64406+0+2562+179453+0+0+0+0+0+0+0+0</f>
        <v>14909888</v>
      </c>
      <c r="G71" s="21" t="s">
        <v>170</v>
      </c>
    </row>
    <row r="72" spans="1:7" ht="15" customHeight="1" x14ac:dyDescent="0.2">
      <c r="A72" s="74" t="s">
        <v>171</v>
      </c>
      <c r="B72" s="74"/>
      <c r="C72" s="74"/>
      <c r="D72" s="74"/>
      <c r="E72" s="74"/>
      <c r="F72" s="74"/>
      <c r="G72" s="74"/>
    </row>
    <row r="73" spans="1:7" ht="15" customHeight="1" x14ac:dyDescent="0.2">
      <c r="A73" s="67" t="s">
        <v>172</v>
      </c>
      <c r="B73" s="67"/>
      <c r="C73" s="67"/>
      <c r="D73" s="67"/>
      <c r="E73" s="67"/>
      <c r="F73" s="67"/>
      <c r="G73" s="67"/>
    </row>
  </sheetData>
  <mergeCells count="6">
    <mergeCell ref="A73:G73"/>
    <mergeCell ref="A4:A5"/>
    <mergeCell ref="B4:B5"/>
    <mergeCell ref="F4:F5"/>
    <mergeCell ref="G4:G5"/>
    <mergeCell ref="A72:G7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73"/>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264</v>
      </c>
    </row>
    <row r="2" spans="1:7" x14ac:dyDescent="0.2">
      <c r="A2" s="13" t="s">
        <v>265</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53222</v>
      </c>
      <c r="C6" s="17">
        <v>0</v>
      </c>
      <c r="D6" s="17">
        <v>53824</v>
      </c>
      <c r="E6" s="17">
        <v>53824</v>
      </c>
      <c r="F6" s="17">
        <v>53800</v>
      </c>
      <c r="G6" s="18">
        <f>IF(AND(F71&lt;&gt;0,53800&lt;&gt;0),IF(100*53800/(F71-0)&lt;0.005,"*",100*53800/(F71-0)),0)</f>
        <v>1.1663994571256058</v>
      </c>
    </row>
    <row r="7" spans="1:7" x14ac:dyDescent="0.2">
      <c r="A7" s="11" t="s">
        <v>112</v>
      </c>
      <c r="B7" s="17">
        <v>23146</v>
      </c>
      <c r="C7" s="17">
        <v>0</v>
      </c>
      <c r="D7" s="17">
        <v>23408</v>
      </c>
      <c r="E7" s="17">
        <v>23408</v>
      </c>
      <c r="F7" s="17">
        <v>23397</v>
      </c>
      <c r="G7" s="18">
        <f>IF(AND(F71&lt;&gt;0,23397&lt;&gt;0),IF(100*23397/(F71-0)&lt;0.005,"*",100*23397/(F71-0)),0)</f>
        <v>0.50725368212579558</v>
      </c>
    </row>
    <row r="8" spans="1:7" x14ac:dyDescent="0.2">
      <c r="A8" s="11" t="s">
        <v>113</v>
      </c>
      <c r="B8" s="17">
        <v>46065</v>
      </c>
      <c r="C8" s="17">
        <v>0</v>
      </c>
      <c r="D8" s="17">
        <v>46586</v>
      </c>
      <c r="E8" s="17">
        <v>46586</v>
      </c>
      <c r="F8" s="17">
        <v>46565</v>
      </c>
      <c r="G8" s="18">
        <f>IF(AND(F71&lt;&gt;0,46565&lt;&gt;0),IF(100*46565/(F71-0)&lt;0.005,"*",100*46565/(F71-0)),0)</f>
        <v>1.0095425784582497</v>
      </c>
    </row>
    <row r="9" spans="1:7" x14ac:dyDescent="0.2">
      <c r="A9" s="11" t="s">
        <v>114</v>
      </c>
      <c r="B9" s="17">
        <v>34816</v>
      </c>
      <c r="C9" s="17">
        <v>0</v>
      </c>
      <c r="D9" s="17">
        <v>35210</v>
      </c>
      <c r="E9" s="17">
        <v>35210</v>
      </c>
      <c r="F9" s="17">
        <v>35194</v>
      </c>
      <c r="G9" s="18">
        <f>IF(AND(F71&lt;&gt;0,35194&lt;&gt;0),IF(100*35194/(F71-0)&lt;0.005,"*",100*35194/(F71-0)),0)</f>
        <v>0.76301603148844932</v>
      </c>
    </row>
    <row r="10" spans="1:7" x14ac:dyDescent="0.2">
      <c r="A10" s="11" t="s">
        <v>115</v>
      </c>
      <c r="B10" s="17">
        <v>687331</v>
      </c>
      <c r="C10" s="17">
        <v>0</v>
      </c>
      <c r="D10" s="17">
        <v>695107</v>
      </c>
      <c r="E10" s="17">
        <v>695107</v>
      </c>
      <c r="F10" s="17">
        <v>694793</v>
      </c>
      <c r="G10" s="18">
        <f>IF(AND(F71&lt;&gt;0,694793&lt;&gt;0),IF(100*694793/(F71-0)&lt;0.005,"*",100*694793/(F71-0)),0)</f>
        <v>15.063311859008756</v>
      </c>
    </row>
    <row r="11" spans="1:7" x14ac:dyDescent="0.2">
      <c r="A11" s="11" t="s">
        <v>116</v>
      </c>
      <c r="B11" s="17">
        <v>66383</v>
      </c>
      <c r="C11" s="17">
        <v>0</v>
      </c>
      <c r="D11" s="17">
        <v>67134</v>
      </c>
      <c r="E11" s="17">
        <v>67134</v>
      </c>
      <c r="F11" s="17">
        <v>67104</v>
      </c>
      <c r="G11" s="18">
        <f>IF(AND(F71&lt;&gt;0,67104&lt;&gt;0),IF(100*67104/(F71-0)&lt;0.005,"*",100*67104/(F71-0)),0)</f>
        <v>1.4548339994601609</v>
      </c>
    </row>
    <row r="12" spans="1:7" x14ac:dyDescent="0.2">
      <c r="A12" s="11" t="s">
        <v>117</v>
      </c>
      <c r="B12" s="17">
        <v>58791</v>
      </c>
      <c r="C12" s="17">
        <v>0</v>
      </c>
      <c r="D12" s="17">
        <v>59456</v>
      </c>
      <c r="E12" s="17">
        <v>59456</v>
      </c>
      <c r="F12" s="17">
        <v>59429</v>
      </c>
      <c r="G12" s="18">
        <f>IF(AND(F71&lt;&gt;0,59429&lt;&gt;0),IF(100*59429/(F71-0)&lt;0.005,"*",100*59429/(F71-0)),0)</f>
        <v>1.288437794377651</v>
      </c>
    </row>
    <row r="13" spans="1:7" x14ac:dyDescent="0.2">
      <c r="A13" s="11" t="s">
        <v>118</v>
      </c>
      <c r="B13" s="17">
        <v>24745</v>
      </c>
      <c r="C13" s="17">
        <v>0</v>
      </c>
      <c r="D13" s="17">
        <v>25024</v>
      </c>
      <c r="E13" s="17">
        <v>25024</v>
      </c>
      <c r="F13" s="17">
        <v>25013</v>
      </c>
      <c r="G13" s="18">
        <f>IF(AND(F71&lt;&gt;0,25013&lt;&gt;0),IF(100*25013/(F71-0)&lt;0.005,"*",100*25013/(F71-0)),0)</f>
        <v>0.54228902641417809</v>
      </c>
    </row>
    <row r="14" spans="1:7" x14ac:dyDescent="0.2">
      <c r="A14" s="11" t="s">
        <v>119</v>
      </c>
      <c r="B14" s="17">
        <v>19339</v>
      </c>
      <c r="C14" s="17">
        <v>0</v>
      </c>
      <c r="D14" s="17">
        <v>19558</v>
      </c>
      <c r="E14" s="17">
        <v>19558</v>
      </c>
      <c r="F14" s="17">
        <v>19549</v>
      </c>
      <c r="G14" s="18">
        <f>IF(AND(F71&lt;&gt;0,19549&lt;&gt;0),IF(100*19549/(F71-0)&lt;0.005,"*",100*19549/(F71-0)),0)</f>
        <v>0.42382793656781542</v>
      </c>
    </row>
    <row r="15" spans="1:7" x14ac:dyDescent="0.2">
      <c r="A15" s="11" t="s">
        <v>120</v>
      </c>
      <c r="B15" s="17">
        <v>213525</v>
      </c>
      <c r="C15" s="17">
        <v>0</v>
      </c>
      <c r="D15" s="17">
        <v>215941</v>
      </c>
      <c r="E15" s="17">
        <v>215941</v>
      </c>
      <c r="F15" s="17">
        <v>215843</v>
      </c>
      <c r="G15" s="18">
        <f>IF(AND(F71&lt;&gt;0,215843&lt;&gt;0),IF(100*215843/(F71-0)&lt;0.005,"*",100*215843/(F71-0)),0)</f>
        <v>4.6795382532409322</v>
      </c>
    </row>
    <row r="16" spans="1:7" x14ac:dyDescent="0.2">
      <c r="A16" s="11" t="s">
        <v>121</v>
      </c>
      <c r="B16" s="17">
        <v>86763</v>
      </c>
      <c r="C16" s="17">
        <v>0</v>
      </c>
      <c r="D16" s="17">
        <v>87745</v>
      </c>
      <c r="E16" s="17">
        <v>87745</v>
      </c>
      <c r="F16" s="17">
        <v>87705</v>
      </c>
      <c r="G16" s="18">
        <f>IF(AND(F71&lt;&gt;0,87705&lt;&gt;0),IF(100*87705/(F71-0)&lt;0.005,"*",100*87705/(F71-0)),0)</f>
        <v>1.9014695982751164</v>
      </c>
    </row>
    <row r="17" spans="1:7" x14ac:dyDescent="0.2">
      <c r="A17" s="11" t="s">
        <v>122</v>
      </c>
      <c r="B17" s="17">
        <v>15601</v>
      </c>
      <c r="C17" s="17">
        <v>0</v>
      </c>
      <c r="D17" s="17">
        <v>15777</v>
      </c>
      <c r="E17" s="17">
        <v>15777</v>
      </c>
      <c r="F17" s="17">
        <v>15770</v>
      </c>
      <c r="G17" s="18">
        <f>IF(AND(F71&lt;&gt;0,15770&lt;&gt;0),IF(100*15770/(F71-0)&lt;0.005,"*",100*15770/(F71-0)),0)</f>
        <v>0.34189813083402981</v>
      </c>
    </row>
    <row r="18" spans="1:7" x14ac:dyDescent="0.2">
      <c r="A18" s="11" t="s">
        <v>123</v>
      </c>
      <c r="B18" s="17">
        <v>21865</v>
      </c>
      <c r="C18" s="17">
        <v>0</v>
      </c>
      <c r="D18" s="17">
        <v>22113</v>
      </c>
      <c r="E18" s="17">
        <v>22113</v>
      </c>
      <c r="F18" s="17">
        <v>22103</v>
      </c>
      <c r="G18" s="18">
        <f>IF(AND(F71&lt;&gt;0,22103&lt;&gt;0),IF(100*22103/(F71-0)&lt;0.005,"*",100*22103/(F71-0)),0)</f>
        <v>0.47919939035032094</v>
      </c>
    </row>
    <row r="19" spans="1:7" x14ac:dyDescent="0.2">
      <c r="A19" s="11" t="s">
        <v>124</v>
      </c>
      <c r="B19" s="17">
        <v>130513</v>
      </c>
      <c r="C19" s="17">
        <v>0</v>
      </c>
      <c r="D19" s="17">
        <v>131989</v>
      </c>
      <c r="E19" s="17">
        <v>131989</v>
      </c>
      <c r="F19" s="17">
        <v>131930</v>
      </c>
      <c r="G19" s="18">
        <f>IF(AND(F71&lt;&gt;0,131930&lt;&gt;0),IF(100*131930/(F71-0)&lt;0.005,"*",100*131930/(F71-0)),0)</f>
        <v>2.8602803044345944</v>
      </c>
    </row>
    <row r="20" spans="1:7" x14ac:dyDescent="0.2">
      <c r="A20" s="11" t="s">
        <v>125</v>
      </c>
      <c r="B20" s="17">
        <v>75856</v>
      </c>
      <c r="C20" s="17">
        <v>0</v>
      </c>
      <c r="D20" s="17">
        <v>76714</v>
      </c>
      <c r="E20" s="17">
        <v>76714</v>
      </c>
      <c r="F20" s="17">
        <v>76679</v>
      </c>
      <c r="G20" s="18">
        <f>IF(AND(F71&lt;&gt;0,76679&lt;&gt;0),IF(100*76679/(F71-0)&lt;0.005,"*",100*76679/(F71-0)),0)</f>
        <v>1.6624227504262887</v>
      </c>
    </row>
    <row r="21" spans="1:7" x14ac:dyDescent="0.2">
      <c r="A21" s="11" t="s">
        <v>126</v>
      </c>
      <c r="B21" s="17">
        <v>37201</v>
      </c>
      <c r="C21" s="17">
        <v>0</v>
      </c>
      <c r="D21" s="17">
        <v>37622</v>
      </c>
      <c r="E21" s="17">
        <v>37622</v>
      </c>
      <c r="F21" s="17">
        <v>37605</v>
      </c>
      <c r="G21" s="18">
        <f>IF(AND(F71&lt;&gt;0,37605&lt;&gt;0),IF(100*37605/(F71-0)&lt;0.005,"*",100*37605/(F71-0)),0)</f>
        <v>0.81528720418602985</v>
      </c>
    </row>
    <row r="22" spans="1:7" x14ac:dyDescent="0.2">
      <c r="A22" s="11" t="s">
        <v>127</v>
      </c>
      <c r="B22" s="17">
        <v>30308</v>
      </c>
      <c r="C22" s="17">
        <v>0</v>
      </c>
      <c r="D22" s="17">
        <v>30650</v>
      </c>
      <c r="E22" s="17">
        <v>30650</v>
      </c>
      <c r="F22" s="17">
        <v>30637</v>
      </c>
      <c r="G22" s="18">
        <f>IF(AND(F71&lt;&gt;0,30637&lt;&gt;0),IF(100*30637/(F71-0)&lt;0.005,"*",100*30637/(F71-0)),0)</f>
        <v>0.66421896222968746</v>
      </c>
    </row>
    <row r="23" spans="1:7" x14ac:dyDescent="0.2">
      <c r="A23" s="11" t="s">
        <v>128</v>
      </c>
      <c r="B23" s="17">
        <v>47089</v>
      </c>
      <c r="C23" s="17">
        <v>0</v>
      </c>
      <c r="D23" s="17">
        <v>47621</v>
      </c>
      <c r="E23" s="17">
        <v>47621</v>
      </c>
      <c r="F23" s="17">
        <v>47600</v>
      </c>
      <c r="G23" s="18">
        <f>IF(AND(F71&lt;&gt;0,47600&lt;&gt;0),IF(100*47600/(F71-0)&lt;0.005,"*",100*47600/(F71-0)),0)</f>
        <v>1.031981675821168</v>
      </c>
    </row>
    <row r="24" spans="1:7" x14ac:dyDescent="0.2">
      <c r="A24" s="11" t="s">
        <v>129</v>
      </c>
      <c r="B24" s="17">
        <v>58040</v>
      </c>
      <c r="C24" s="17">
        <v>0</v>
      </c>
      <c r="D24" s="17">
        <v>58697</v>
      </c>
      <c r="E24" s="17">
        <v>58697</v>
      </c>
      <c r="F24" s="17">
        <v>58670</v>
      </c>
      <c r="G24" s="18">
        <f>IF(AND(F71&lt;&gt;0,58670&lt;&gt;0),IF(100*58670/(F71-0)&lt;0.005,"*",100*58670/(F71-0)),0)</f>
        <v>1.271982456311511</v>
      </c>
    </row>
    <row r="25" spans="1:7" x14ac:dyDescent="0.2">
      <c r="A25" s="11" t="s">
        <v>130</v>
      </c>
      <c r="B25" s="17">
        <v>21712</v>
      </c>
      <c r="C25" s="17">
        <v>0</v>
      </c>
      <c r="D25" s="17">
        <v>21958</v>
      </c>
      <c r="E25" s="17">
        <v>21958</v>
      </c>
      <c r="F25" s="17">
        <v>21948</v>
      </c>
      <c r="G25" s="18">
        <f>IF(AND(F71&lt;&gt;0,21948&lt;&gt;0),IF(100*21948/(F71-0)&lt;0.005,"*",100*21948/(F71-0)),0)</f>
        <v>0.47583894581770997</v>
      </c>
    </row>
    <row r="26" spans="1:7" x14ac:dyDescent="0.2">
      <c r="A26" s="11" t="s">
        <v>131</v>
      </c>
      <c r="B26" s="17">
        <v>117198</v>
      </c>
      <c r="C26" s="17">
        <v>0</v>
      </c>
      <c r="D26" s="17">
        <v>118524</v>
      </c>
      <c r="E26" s="17">
        <v>118524</v>
      </c>
      <c r="F26" s="17">
        <v>118470</v>
      </c>
      <c r="G26" s="18">
        <f>IF(AND(F71&lt;&gt;0,118470&lt;&gt;0),IF(100*118470/(F71-0)&lt;0.005,"*",100*118470/(F71-0)),0)</f>
        <v>2.5684636372801211</v>
      </c>
    </row>
    <row r="27" spans="1:7" x14ac:dyDescent="0.2">
      <c r="A27" s="11" t="s">
        <v>132</v>
      </c>
      <c r="B27" s="17">
        <v>70836</v>
      </c>
      <c r="C27" s="17">
        <v>0</v>
      </c>
      <c r="D27" s="17">
        <v>71637</v>
      </c>
      <c r="E27" s="17">
        <v>71637</v>
      </c>
      <c r="F27" s="17">
        <v>71605</v>
      </c>
      <c r="G27" s="18">
        <f>IF(AND(F71&lt;&gt;0,71605&lt;&gt;0),IF(100*71605/(F71-0)&lt;0.005,"*",100*71605/(F71-0)),0)</f>
        <v>1.5524169726297212</v>
      </c>
    </row>
    <row r="28" spans="1:7" x14ac:dyDescent="0.2">
      <c r="A28" s="11" t="s">
        <v>133</v>
      </c>
      <c r="B28" s="17">
        <v>190934</v>
      </c>
      <c r="C28" s="17">
        <v>0</v>
      </c>
      <c r="D28" s="17">
        <v>193094</v>
      </c>
      <c r="E28" s="17">
        <v>193094</v>
      </c>
      <c r="F28" s="17">
        <v>193007</v>
      </c>
      <c r="G28" s="18">
        <f>IF(AND(F71&lt;&gt;0,193007&lt;&gt;0),IF(100*193007/(F71-0)&lt;0.005,"*",100*193007/(F71-0)),0)</f>
        <v>4.1844472122944572</v>
      </c>
    </row>
    <row r="29" spans="1:7" x14ac:dyDescent="0.2">
      <c r="A29" s="11" t="s">
        <v>134</v>
      </c>
      <c r="B29" s="17">
        <v>125002</v>
      </c>
      <c r="C29" s="17">
        <v>0</v>
      </c>
      <c r="D29" s="17">
        <v>126416</v>
      </c>
      <c r="E29" s="17">
        <v>126416</v>
      </c>
      <c r="F29" s="17">
        <v>126358</v>
      </c>
      <c r="G29" s="18">
        <f>IF(AND(F71&lt;&gt;0,126358&lt;&gt;0),IF(100*126358/(F71-0)&lt;0.005,"*",100*126358/(F71-0)),0)</f>
        <v>2.7394777435590578</v>
      </c>
    </row>
    <row r="30" spans="1:7" x14ac:dyDescent="0.2">
      <c r="A30" s="11" t="s">
        <v>135</v>
      </c>
      <c r="B30" s="17">
        <v>41333</v>
      </c>
      <c r="C30" s="17">
        <v>0</v>
      </c>
      <c r="D30" s="17">
        <v>41800</v>
      </c>
      <c r="E30" s="17">
        <v>41800</v>
      </c>
      <c r="F30" s="17">
        <v>41781</v>
      </c>
      <c r="G30" s="18">
        <f>IF(AND(F71&lt;&gt;0,41781&lt;&gt;0),IF(100*41781/(F71-0)&lt;0.005,"*",100*41781/(F71-0)),0)</f>
        <v>0.90582408398076086</v>
      </c>
    </row>
    <row r="31" spans="1:7" x14ac:dyDescent="0.2">
      <c r="A31" s="11" t="s">
        <v>136</v>
      </c>
      <c r="B31" s="17">
        <v>67624</v>
      </c>
      <c r="C31" s="17">
        <v>0</v>
      </c>
      <c r="D31" s="17">
        <v>68389</v>
      </c>
      <c r="E31" s="17">
        <v>68389</v>
      </c>
      <c r="F31" s="17">
        <v>68358</v>
      </c>
      <c r="G31" s="18">
        <f>IF(AND(F71&lt;&gt;0,68358&lt;&gt;0),IF(100*68358/(F71-0)&lt;0.005,"*",100*68358/(F71-0)),0)</f>
        <v>1.4820210797433488</v>
      </c>
    </row>
    <row r="32" spans="1:7" x14ac:dyDescent="0.2">
      <c r="A32" s="11" t="s">
        <v>137</v>
      </c>
      <c r="B32" s="17">
        <v>11660</v>
      </c>
      <c r="C32" s="17">
        <v>0</v>
      </c>
      <c r="D32" s="17">
        <v>11792</v>
      </c>
      <c r="E32" s="17">
        <v>11792</v>
      </c>
      <c r="F32" s="17">
        <v>11786</v>
      </c>
      <c r="G32" s="18">
        <f>IF(AND(F71&lt;&gt;0,11786&lt;&gt;0),IF(100*11786/(F71-0)&lt;0.005,"*",100*11786/(F71-0)),0)</f>
        <v>0.25552386620227491</v>
      </c>
    </row>
    <row r="33" spans="1:7" x14ac:dyDescent="0.2">
      <c r="A33" s="11" t="s">
        <v>138</v>
      </c>
      <c r="B33" s="17">
        <v>25778</v>
      </c>
      <c r="C33" s="17">
        <v>0</v>
      </c>
      <c r="D33" s="17">
        <v>26070</v>
      </c>
      <c r="E33" s="17">
        <v>26070</v>
      </c>
      <c r="F33" s="17">
        <v>26058</v>
      </c>
      <c r="G33" s="18">
        <f>IF(AND(F71&lt;&gt;0,26058&lt;&gt;0),IF(100*26058/(F71-0)&lt;0.005,"*",100*26058/(F71-0)),0)</f>
        <v>0.56494492665016793</v>
      </c>
    </row>
    <row r="34" spans="1:7" x14ac:dyDescent="0.2">
      <c r="A34" s="11" t="s">
        <v>139</v>
      </c>
      <c r="B34" s="17">
        <v>54185</v>
      </c>
      <c r="C34" s="17">
        <v>0</v>
      </c>
      <c r="D34" s="17">
        <v>54798</v>
      </c>
      <c r="E34" s="17">
        <v>54798</v>
      </c>
      <c r="F34" s="17">
        <v>54774</v>
      </c>
      <c r="G34" s="18">
        <f>IF(AND(F71&lt;&gt;0,54774&lt;&gt;0),IF(100*54774/(F71-0)&lt;0.005,"*",100*54774/(F71-0)),0)</f>
        <v>1.1875160569627869</v>
      </c>
    </row>
    <row r="35" spans="1:7" x14ac:dyDescent="0.2">
      <c r="A35" s="11" t="s">
        <v>140</v>
      </c>
      <c r="B35" s="17">
        <v>12939</v>
      </c>
      <c r="C35" s="17">
        <v>0</v>
      </c>
      <c r="D35" s="17">
        <v>13085</v>
      </c>
      <c r="E35" s="17">
        <v>13085</v>
      </c>
      <c r="F35" s="17">
        <v>13079</v>
      </c>
      <c r="G35" s="18">
        <f>IF(AND(F71&lt;&gt;0,13079&lt;&gt;0),IF(100*13079/(F71-0)&lt;0.005,"*",100*13079/(F71-0)),0)</f>
        <v>0.28355647769044234</v>
      </c>
    </row>
    <row r="36" spans="1:7" x14ac:dyDescent="0.2">
      <c r="A36" s="11" t="s">
        <v>141</v>
      </c>
      <c r="B36" s="17">
        <v>191825</v>
      </c>
      <c r="C36" s="17">
        <v>0</v>
      </c>
      <c r="D36" s="17">
        <v>193995</v>
      </c>
      <c r="E36" s="17">
        <v>193995</v>
      </c>
      <c r="F36" s="17">
        <v>193908</v>
      </c>
      <c r="G36" s="18">
        <f>IF(AND(F71&lt;&gt;0,193908&lt;&gt;0),IF(100*193908/(F71-0)&lt;0.005,"*",100*193908/(F71-0)),0)</f>
        <v>4.2039811511582155</v>
      </c>
    </row>
    <row r="37" spans="1:7" x14ac:dyDescent="0.2">
      <c r="A37" s="11" t="s">
        <v>142</v>
      </c>
      <c r="B37" s="17">
        <v>31199</v>
      </c>
      <c r="C37" s="17">
        <v>0</v>
      </c>
      <c r="D37" s="17">
        <v>31552</v>
      </c>
      <c r="E37" s="17">
        <v>31552</v>
      </c>
      <c r="F37" s="17">
        <v>31538</v>
      </c>
      <c r="G37" s="18">
        <f>IF(AND(F71&lt;&gt;0,31538&lt;&gt;0),IF(100*31538/(F71-0)&lt;0.005,"*",100*31538/(F71-0)),0)</f>
        <v>0.68375290109344533</v>
      </c>
    </row>
    <row r="38" spans="1:7" x14ac:dyDescent="0.2">
      <c r="A38" s="11" t="s">
        <v>143</v>
      </c>
      <c r="B38" s="17">
        <v>304952</v>
      </c>
      <c r="C38" s="17">
        <v>0</v>
      </c>
      <c r="D38" s="17">
        <v>308402</v>
      </c>
      <c r="E38" s="17">
        <v>308402</v>
      </c>
      <c r="F38" s="17">
        <v>308262</v>
      </c>
      <c r="G38" s="18">
        <f>IF(AND(F71&lt;&gt;0,308262&lt;&gt;0),IF(100*308262/(F71-0)&lt;0.005,"*",100*308262/(F71-0)),0)</f>
        <v>6.683208725882035</v>
      </c>
    </row>
    <row r="39" spans="1:7" x14ac:dyDescent="0.2">
      <c r="A39" s="11" t="s">
        <v>144</v>
      </c>
      <c r="B39" s="17">
        <v>108928</v>
      </c>
      <c r="C39" s="17">
        <v>0</v>
      </c>
      <c r="D39" s="17">
        <v>110161</v>
      </c>
      <c r="E39" s="17">
        <v>110161</v>
      </c>
      <c r="F39" s="17">
        <v>110111</v>
      </c>
      <c r="G39" s="18">
        <f>IF(AND(F71&lt;&gt;0,110111&lt;&gt;0),IF(100*110111/(F71-0)&lt;0.005,"*",100*110111/(F71-0)),0)</f>
        <v>2.3872381156795091</v>
      </c>
    </row>
    <row r="40" spans="1:7" x14ac:dyDescent="0.2">
      <c r="A40" s="11" t="s">
        <v>145</v>
      </c>
      <c r="B40" s="17">
        <v>12591</v>
      </c>
      <c r="C40" s="17">
        <v>0</v>
      </c>
      <c r="D40" s="17">
        <v>12733</v>
      </c>
      <c r="E40" s="17">
        <v>12733</v>
      </c>
      <c r="F40" s="17">
        <v>12727</v>
      </c>
      <c r="G40" s="18">
        <f>IF(AND(F71&lt;&gt;0,12727&lt;&gt;0),IF(100*12727/(F71-0)&lt;0.005,"*",100*12727/(F71-0)),0)</f>
        <v>0.27592501655831941</v>
      </c>
    </row>
    <row r="41" spans="1:7" x14ac:dyDescent="0.2">
      <c r="A41" s="11" t="s">
        <v>146</v>
      </c>
      <c r="B41" s="17">
        <v>201029</v>
      </c>
      <c r="C41" s="17">
        <v>0</v>
      </c>
      <c r="D41" s="17">
        <v>203303</v>
      </c>
      <c r="E41" s="17">
        <v>203303</v>
      </c>
      <c r="F41" s="17">
        <v>203212</v>
      </c>
      <c r="G41" s="18">
        <f>IF(AND(F71&lt;&gt;0,203212&lt;&gt;0),IF(100*203212/(F71-0)&lt;0.005,"*",100*203212/(F71-0)),0)</f>
        <v>4.4056945442641009</v>
      </c>
    </row>
    <row r="42" spans="1:7" x14ac:dyDescent="0.2">
      <c r="A42" s="11" t="s">
        <v>147</v>
      </c>
      <c r="B42" s="17">
        <v>38853</v>
      </c>
      <c r="C42" s="17">
        <v>0</v>
      </c>
      <c r="D42" s="17">
        <v>39293</v>
      </c>
      <c r="E42" s="17">
        <v>39293</v>
      </c>
      <c r="F42" s="17">
        <v>39275</v>
      </c>
      <c r="G42" s="18">
        <f>IF(AND(F71&lt;&gt;0,39275&lt;&gt;0),IF(100*39275/(F71-0)&lt;0.005,"*",100*39275/(F71-0)),0)</f>
        <v>0.85149328398899937</v>
      </c>
    </row>
    <row r="43" spans="1:7" x14ac:dyDescent="0.2">
      <c r="A43" s="11" t="s">
        <v>148</v>
      </c>
      <c r="B43" s="17">
        <v>84162</v>
      </c>
      <c r="C43" s="17">
        <v>0</v>
      </c>
      <c r="D43" s="17">
        <v>85114</v>
      </c>
      <c r="E43" s="17">
        <v>85114</v>
      </c>
      <c r="F43" s="17">
        <v>85076</v>
      </c>
      <c r="G43" s="18">
        <f>IF(AND(F71&lt;&gt;0,85076&lt;&gt;0),IF(100*85076/(F71-0)&lt;0.005,"*",100*85076/(F71-0)),0)</f>
        <v>1.8444721229445733</v>
      </c>
    </row>
    <row r="44" spans="1:7" x14ac:dyDescent="0.2">
      <c r="A44" s="11" t="s">
        <v>149</v>
      </c>
      <c r="B44" s="17">
        <v>214188</v>
      </c>
      <c r="C44" s="17">
        <v>0</v>
      </c>
      <c r="D44" s="17">
        <v>216611</v>
      </c>
      <c r="E44" s="17">
        <v>216611</v>
      </c>
      <c r="F44" s="17">
        <v>216513</v>
      </c>
      <c r="G44" s="18">
        <f>IF(AND(F71&lt;&gt;0,216513&lt;&gt;0),IF(100*216513/(F71-0)&lt;0.005,"*",100*216513/(F71-0)),0)</f>
        <v>4.6940640457367344</v>
      </c>
    </row>
    <row r="45" spans="1:7" x14ac:dyDescent="0.2">
      <c r="A45" s="11" t="s">
        <v>150</v>
      </c>
      <c r="B45" s="17">
        <v>12452</v>
      </c>
      <c r="C45" s="17">
        <v>0</v>
      </c>
      <c r="D45" s="17">
        <v>12592</v>
      </c>
      <c r="E45" s="17">
        <v>12592</v>
      </c>
      <c r="F45" s="17">
        <v>12587</v>
      </c>
      <c r="G45" s="18">
        <f>IF(AND(F71&lt;&gt;0,12587&lt;&gt;0),IF(100*12587/(F71-0)&lt;0.005,"*",100*12587/(F71-0)),0)</f>
        <v>0.27288977633531597</v>
      </c>
    </row>
    <row r="46" spans="1:7" x14ac:dyDescent="0.2">
      <c r="A46" s="11" t="s">
        <v>151</v>
      </c>
      <c r="B46" s="17">
        <v>78648</v>
      </c>
      <c r="C46" s="17">
        <v>0</v>
      </c>
      <c r="D46" s="17">
        <v>79537</v>
      </c>
      <c r="E46" s="17">
        <v>79537</v>
      </c>
      <c r="F46" s="17">
        <v>79501</v>
      </c>
      <c r="G46" s="18">
        <f>IF(AND(F71&lt;&gt;0,79501&lt;&gt;0),IF(100*79501/(F71-0)&lt;0.005,"*",100*79501/(F71-0)),0)</f>
        <v>1.7236045212071149</v>
      </c>
    </row>
    <row r="47" spans="1:7" x14ac:dyDescent="0.2">
      <c r="A47" s="11" t="s">
        <v>152</v>
      </c>
      <c r="B47" s="17">
        <v>7579</v>
      </c>
      <c r="C47" s="17">
        <v>0</v>
      </c>
      <c r="D47" s="17">
        <v>7665</v>
      </c>
      <c r="E47" s="17">
        <v>7665</v>
      </c>
      <c r="F47" s="17">
        <v>7661</v>
      </c>
      <c r="G47" s="18">
        <f>IF(AND(F71&lt;&gt;0,7661&lt;&gt;0),IF(100*7661/(F71-0)&lt;0.005,"*",100*7661/(F71-0)),0)</f>
        <v>0.16609268106020941</v>
      </c>
    </row>
    <row r="48" spans="1:7" x14ac:dyDescent="0.2">
      <c r="A48" s="11" t="s">
        <v>153</v>
      </c>
      <c r="B48" s="17">
        <v>93319</v>
      </c>
      <c r="C48" s="17">
        <v>0</v>
      </c>
      <c r="D48" s="17">
        <v>94374</v>
      </c>
      <c r="E48" s="17">
        <v>94374</v>
      </c>
      <c r="F48" s="17">
        <v>94332</v>
      </c>
      <c r="G48" s="18">
        <f>IF(AND(F71&lt;&gt;0,94332&lt;&gt;0),IF(100*94332/(F71-0)&lt;0.005,"*",100*94332/(F71-0)),0)</f>
        <v>2.0451448622597148</v>
      </c>
    </row>
    <row r="49" spans="1:7" x14ac:dyDescent="0.2">
      <c r="A49" s="11" t="s">
        <v>154</v>
      </c>
      <c r="B49" s="17">
        <v>293712</v>
      </c>
      <c r="C49" s="17">
        <v>0</v>
      </c>
      <c r="D49" s="17">
        <v>297034</v>
      </c>
      <c r="E49" s="17">
        <v>297034</v>
      </c>
      <c r="F49" s="17">
        <v>296900</v>
      </c>
      <c r="G49" s="18">
        <f>IF(AND(F71&lt;&gt;0,296900&lt;&gt;0),IF(100*296900/(F71-0)&lt;0.005,"*",100*296900/(F71-0)),0)</f>
        <v>6.4368773014979999</v>
      </c>
    </row>
    <row r="50" spans="1:7" x14ac:dyDescent="0.2">
      <c r="A50" s="11" t="s">
        <v>155</v>
      </c>
      <c r="B50" s="17">
        <v>27934</v>
      </c>
      <c r="C50" s="17">
        <v>0</v>
      </c>
      <c r="D50" s="17">
        <v>28250</v>
      </c>
      <c r="E50" s="17">
        <v>28250</v>
      </c>
      <c r="F50" s="17">
        <v>28237</v>
      </c>
      <c r="G50" s="18">
        <f>IF(AND(F71&lt;&gt;0,28237&lt;&gt;0),IF(100*28237/(F71-0)&lt;0.005,"*",100*28237/(F71-0)),0)</f>
        <v>0.61218627269248571</v>
      </c>
    </row>
    <row r="51" spans="1:7" x14ac:dyDescent="0.2">
      <c r="A51" s="11" t="s">
        <v>156</v>
      </c>
      <c r="B51" s="17">
        <v>10689</v>
      </c>
      <c r="C51" s="17">
        <v>0</v>
      </c>
      <c r="D51" s="17">
        <v>10810</v>
      </c>
      <c r="E51" s="17">
        <v>10810</v>
      </c>
      <c r="F51" s="17">
        <v>10806</v>
      </c>
      <c r="G51" s="18">
        <f>IF(AND(F71&lt;&gt;0,10806&lt;&gt;0),IF(100*10806/(F71-0)&lt;0.005,"*",100*10806/(F71-0)),0)</f>
        <v>0.23427718464125086</v>
      </c>
    </row>
    <row r="52" spans="1:7" x14ac:dyDescent="0.2">
      <c r="A52" s="11" t="s">
        <v>157</v>
      </c>
      <c r="B52" s="17">
        <v>67828</v>
      </c>
      <c r="C52" s="17">
        <v>0</v>
      </c>
      <c r="D52" s="17">
        <v>68595</v>
      </c>
      <c r="E52" s="17">
        <v>68595</v>
      </c>
      <c r="F52" s="17">
        <v>68564</v>
      </c>
      <c r="G52" s="18">
        <f>IF(AND(F71&lt;&gt;0,68564&lt;&gt;0),IF(100*68564/(F71-0)&lt;0.005,"*",100*68564/(F71-0)),0)</f>
        <v>1.4864872189286253</v>
      </c>
    </row>
    <row r="53" spans="1:7" x14ac:dyDescent="0.2">
      <c r="A53" s="11" t="s">
        <v>158</v>
      </c>
      <c r="B53" s="17">
        <v>116681</v>
      </c>
      <c r="C53" s="17">
        <v>0</v>
      </c>
      <c r="D53" s="17">
        <v>118001</v>
      </c>
      <c r="E53" s="17">
        <v>118001</v>
      </c>
      <c r="F53" s="17">
        <v>117948</v>
      </c>
      <c r="G53" s="18">
        <f>IF(AND(F71&lt;&gt;0,117948&lt;&gt;0),IF(100*117948/(F71-0)&lt;0.005,"*",100*117948/(F71-0)),0)</f>
        <v>2.5571465273057798</v>
      </c>
    </row>
    <row r="54" spans="1:7" x14ac:dyDescent="0.2">
      <c r="A54" s="11" t="s">
        <v>159</v>
      </c>
      <c r="B54" s="17">
        <v>25121</v>
      </c>
      <c r="C54" s="17">
        <v>0</v>
      </c>
      <c r="D54" s="17">
        <v>25405</v>
      </c>
      <c r="E54" s="17">
        <v>25405</v>
      </c>
      <c r="F54" s="17">
        <v>25394</v>
      </c>
      <c r="G54" s="18">
        <f>IF(AND(F71&lt;&gt;0,25394&lt;&gt;0),IF(100*25394/(F71-0)&lt;0.005,"*",100*25394/(F71-0)),0)</f>
        <v>0.55054921587820882</v>
      </c>
    </row>
    <row r="55" spans="1:7" x14ac:dyDescent="0.2">
      <c r="A55" s="11" t="s">
        <v>160</v>
      </c>
      <c r="B55" s="17">
        <v>76520</v>
      </c>
      <c r="C55" s="17">
        <v>0</v>
      </c>
      <c r="D55" s="17">
        <v>77386</v>
      </c>
      <c r="E55" s="17">
        <v>77386</v>
      </c>
      <c r="F55" s="17">
        <v>77351</v>
      </c>
      <c r="G55" s="18">
        <f>IF(AND(F71&lt;&gt;0,77351&lt;&gt;0),IF(100*77351/(F71-0)&lt;0.005,"*",100*77351/(F71-0)),0)</f>
        <v>1.6769919034967051</v>
      </c>
    </row>
    <row r="56" spans="1:7" x14ac:dyDescent="0.2">
      <c r="A56" s="11" t="s">
        <v>161</v>
      </c>
      <c r="B56" s="17">
        <v>7499</v>
      </c>
      <c r="C56" s="17">
        <v>0</v>
      </c>
      <c r="D56" s="17">
        <v>7584</v>
      </c>
      <c r="E56" s="17">
        <v>7584</v>
      </c>
      <c r="F56" s="17">
        <v>7580</v>
      </c>
      <c r="G56" s="18">
        <f>IF(AND(F71&lt;&gt;0,7580&lt;&gt;0),IF(100*7580/(F71-0)&lt;0.005,"*",100*7580/(F71-0)),0)</f>
        <v>0.16433657778832886</v>
      </c>
    </row>
    <row r="57" spans="1:7" x14ac:dyDescent="0.2">
      <c r="A57" s="11" t="s">
        <v>162</v>
      </c>
      <c r="B57" s="17">
        <v>0</v>
      </c>
      <c r="C57" s="17">
        <v>0</v>
      </c>
      <c r="D57" s="17">
        <v>0</v>
      </c>
      <c r="E57" s="17">
        <v>0</v>
      </c>
      <c r="F57" s="17">
        <v>0</v>
      </c>
      <c r="G57" s="18">
        <f>IF(AND(F71&lt;&gt;0,0&lt;&gt;0),IF(100*0/(F71-0)&lt;0.005,"*",100*0/(F71-0)),0)</f>
        <v>0</v>
      </c>
    </row>
    <row r="58" spans="1:7" x14ac:dyDescent="0.2">
      <c r="A58" s="11" t="s">
        <v>163</v>
      </c>
      <c r="B58" s="17">
        <v>5328</v>
      </c>
      <c r="C58" s="17">
        <v>0</v>
      </c>
      <c r="D58" s="17">
        <v>5389</v>
      </c>
      <c r="E58" s="17">
        <v>5389</v>
      </c>
      <c r="F58" s="17">
        <v>5386</v>
      </c>
      <c r="G58" s="18">
        <f>IF(AND(F71&lt;&gt;0,5386&lt;&gt;0),IF(100*5386/(F71-0)&lt;0.005,"*",100*5386/(F71-0)),0)</f>
        <v>0.11677002743640359</v>
      </c>
    </row>
    <row r="59" spans="1:7" x14ac:dyDescent="0.2">
      <c r="A59" s="11" t="s">
        <v>164</v>
      </c>
      <c r="B59" s="17">
        <v>0</v>
      </c>
      <c r="C59" s="17">
        <v>0</v>
      </c>
      <c r="D59" s="17">
        <v>0</v>
      </c>
      <c r="E59" s="17">
        <v>0</v>
      </c>
      <c r="F59" s="17">
        <v>0</v>
      </c>
      <c r="G59" s="18">
        <f>IF(AND(F71&lt;&gt;0,0&lt;&gt;0),IF(100*0/(F71-0)&lt;0.005,"*",100*0/(F71-0)),0)</f>
        <v>0</v>
      </c>
    </row>
    <row r="60" spans="1:7" x14ac:dyDescent="0.2">
      <c r="A60" s="11" t="s">
        <v>165</v>
      </c>
      <c r="B60" s="17">
        <v>23299</v>
      </c>
      <c r="C60" s="17">
        <v>0</v>
      </c>
      <c r="D60" s="17">
        <v>23562</v>
      </c>
      <c r="E60" s="17">
        <v>23562</v>
      </c>
      <c r="F60" s="17">
        <v>23552</v>
      </c>
      <c r="G60" s="18">
        <f>IF(AND(F71&lt;&gt;0,23552&lt;&gt;0),IF(100*23552/(F71-0)&lt;0.005,"*",100*23552/(F71-0)),0)</f>
        <v>0.51061412665840644</v>
      </c>
    </row>
    <row r="61" spans="1:7" x14ac:dyDescent="0.2">
      <c r="A61" s="11" t="s">
        <v>166</v>
      </c>
      <c r="B61" s="17">
        <v>0</v>
      </c>
      <c r="C61" s="17">
        <v>0</v>
      </c>
      <c r="D61" s="17">
        <v>0</v>
      </c>
      <c r="E61" s="17">
        <v>0</v>
      </c>
      <c r="F61" s="17">
        <v>0</v>
      </c>
      <c r="G61" s="18">
        <f>IF(AND(F71&lt;&gt;0,0&lt;&gt;0),IF(100*0/(F71-0)&lt;0.005,"*",100*0/(F71-0)),0)</f>
        <v>0</v>
      </c>
    </row>
    <row r="62" spans="1:7" x14ac:dyDescent="0.2">
      <c r="A62" s="11" t="s">
        <v>167</v>
      </c>
      <c r="B62" s="17">
        <v>6490</v>
      </c>
      <c r="C62" s="17">
        <v>0</v>
      </c>
      <c r="D62" s="17">
        <v>6564</v>
      </c>
      <c r="E62" s="17">
        <v>6564</v>
      </c>
      <c r="F62" s="17">
        <v>6561</v>
      </c>
      <c r="G62" s="18">
        <f>IF(AND(F71&lt;&gt;0,6561&lt;&gt;0),IF(100*6561/(F71-0)&lt;0.005,"*",100*6561/(F71-0)),0)</f>
        <v>0.14224436502232526</v>
      </c>
    </row>
    <row r="63" spans="1:7" x14ac:dyDescent="0.2">
      <c r="A63" s="11" t="s">
        <v>168</v>
      </c>
      <c r="B63" s="17">
        <v>52325</v>
      </c>
      <c r="C63" s="17">
        <v>0</v>
      </c>
      <c r="D63" s="17">
        <v>52917</v>
      </c>
      <c r="E63" s="17">
        <v>52917</v>
      </c>
      <c r="F63" s="17">
        <v>52893</v>
      </c>
      <c r="G63" s="18">
        <f>IF(AND(F71&lt;&gt;0,52893&lt;&gt;0),IF(100*52893/(F71-0)&lt;0.005,"*",100*52893/(F71-0)),0)</f>
        <v>1.1467354365380049</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IF(AND(F71&lt;&gt;0,0&lt;&gt;0),IF(100*0/(F71-0)&lt;0.005,"*",100*0/(F71-0)),0)</f>
        <v>0</v>
      </c>
    </row>
    <row r="66" spans="1:7" x14ac:dyDescent="0.2">
      <c r="A66" s="11" t="s">
        <v>260</v>
      </c>
      <c r="B66" s="17">
        <v>0</v>
      </c>
      <c r="C66" s="17">
        <v>0</v>
      </c>
      <c r="D66" s="17">
        <v>0</v>
      </c>
      <c r="E66" s="17">
        <v>0</v>
      </c>
      <c r="F66" s="17">
        <v>0</v>
      </c>
      <c r="G66" s="18">
        <f>IF(AND(F71&lt;&gt;0,0&lt;&gt;0),IF(100*0/(F71-0)&lt;0.005,"*",100*0/(F71-0)),0)</f>
        <v>0</v>
      </c>
    </row>
    <row r="67" spans="1:7" x14ac:dyDescent="0.2">
      <c r="A67" s="11" t="s">
        <v>261</v>
      </c>
      <c r="B67" s="17">
        <v>0</v>
      </c>
      <c r="C67" s="17">
        <v>0</v>
      </c>
      <c r="D67" s="17">
        <v>0</v>
      </c>
      <c r="E67" s="17">
        <v>0</v>
      </c>
      <c r="F67" s="17">
        <v>0</v>
      </c>
      <c r="G67" s="18">
        <f>IF(AND(F71&lt;&gt;0,0&lt;&gt;0),IF(100*0/(F71-0)&lt;0.005,"*",100*0/(F71-0)),0)</f>
        <v>0</v>
      </c>
    </row>
    <row r="68" spans="1:7" x14ac:dyDescent="0.2">
      <c r="A68" s="11" t="s">
        <v>262</v>
      </c>
      <c r="B68" s="17">
        <v>0</v>
      </c>
      <c r="C68" s="17">
        <v>0</v>
      </c>
      <c r="D68" s="17">
        <v>0</v>
      </c>
      <c r="E68" s="17">
        <v>0</v>
      </c>
      <c r="F68" s="17">
        <v>0</v>
      </c>
      <c r="G68" s="18">
        <f>IF(AND(F71&lt;&gt;0,0&lt;&gt;0),IF(100*0/(F71-0)&lt;0.005,"*",100*0/(F71-0)),0)</f>
        <v>0</v>
      </c>
    </row>
    <row r="69" spans="1:7" x14ac:dyDescent="0.2">
      <c r="A69" s="11" t="s">
        <v>263</v>
      </c>
      <c r="B69" s="17">
        <v>0</v>
      </c>
      <c r="C69" s="17">
        <v>0</v>
      </c>
      <c r="D69" s="17">
        <v>0</v>
      </c>
      <c r="E69" s="17">
        <v>0</v>
      </c>
      <c r="F69" s="17">
        <v>0</v>
      </c>
      <c r="G69" s="18">
        <f>IF(AND(F71&lt;&gt;0,0&lt;&gt;0),IF(100*0/(F71-0)&lt;0.005,"*",100*0/(F71-0)),0)</f>
        <v>0</v>
      </c>
    </row>
    <row r="70" spans="1:7" x14ac:dyDescent="0.2">
      <c r="A70" s="11" t="s">
        <v>184</v>
      </c>
      <c r="B70" s="17">
        <v>0</v>
      </c>
      <c r="C70" s="17">
        <v>0</v>
      </c>
      <c r="D70" s="17">
        <v>0</v>
      </c>
      <c r="E70" s="17">
        <v>0</v>
      </c>
      <c r="F70" s="17">
        <v>0</v>
      </c>
      <c r="G70" s="18">
        <f>IF(AND(F71&lt;&gt;0,0&lt;&gt;0),IF(100*0/(F71-0)&lt;0.005,"*",100*0/(F71-0)),0)</f>
        <v>0</v>
      </c>
    </row>
    <row r="71" spans="1:7" ht="15" customHeight="1" x14ac:dyDescent="0.2">
      <c r="A71" s="19" t="s">
        <v>110</v>
      </c>
      <c r="B71" s="20">
        <f>53222+23146+46065+34816+687331+66383+58791+24745+19339+213525+86763+15601+21865+130513+75856+37201+30308+47089+58040+21712+117198+70836+190934+125002+41333+67624+11660+25778+54185+12939+191825+31199+304952+108928+12591+201029+38853+84162+214188+12452+78648+7579+93319+293712+27934+10689+67828+116681+25121+76520+7499+0+5328+0+23299+0+6490+52325+0+0+0+0+0+0+0+0</f>
        <v>4562951</v>
      </c>
      <c r="C71" s="20">
        <f>0+0+0+0+0+0+0+0+0+0+0+0+0+0+0+0+0+0+0+0+0+0+0+0+0+0+0+0+0+0+0+0+0+0+0+0+0+0+0+0+0+0+0+0+0+0+0+0+0+0+0+0+0+0+0+0+0+0+0+0+0+0+0+0+0+0</f>
        <v>0</v>
      </c>
      <c r="D71" s="20">
        <f>53824+23408+46586+35210+695107+67134+59456+25024+19558+215941+87745+15777+22113+131989+76714+37622+30650+47621+58697+21958+118524+71637+193094+126416+41800+68389+11792+26070+54798+13085+193995+31552+308402+110161+12733+203303+39293+85114+216611+12592+79537+7665+94374+297034+28250+10810+68595+118001+25405+77386+7584+0+5389+0+23562+0+6564+52917+0+0+0+0+0+0+0+0</f>
        <v>4614568</v>
      </c>
      <c r="E71" s="20">
        <f>SUM(C71:D71)</f>
        <v>4614568</v>
      </c>
      <c r="F71" s="20">
        <f>53800+23397+46565+35194+694793+67104+59429+25013+19549+215843+87705+15770+22103+131930+76679+37605+30637+47600+58670+21948+118470+71605+193007+126358+41781+68358+11786+26058+54774+13079+193908+31538+308262+110111+12727+203212+39275+85076+216513+12587+79501+7661+94332+296900+28237+10806+68564+117948+25394+77351+7580+0+5386+0+23552+0+6561+52893+0+0+0+0+0+0+0+0</f>
        <v>4612485</v>
      </c>
      <c r="G71" s="21" t="s">
        <v>170</v>
      </c>
    </row>
    <row r="72" spans="1:7" ht="15" customHeight="1" x14ac:dyDescent="0.2">
      <c r="A72" s="74" t="s">
        <v>171</v>
      </c>
      <c r="B72" s="74"/>
      <c r="C72" s="74"/>
      <c r="D72" s="74"/>
      <c r="E72" s="74"/>
      <c r="F72" s="74"/>
      <c r="G72" s="74"/>
    </row>
    <row r="73" spans="1:7" ht="15" customHeight="1" x14ac:dyDescent="0.2">
      <c r="A73" s="67" t="s">
        <v>172</v>
      </c>
      <c r="B73" s="67"/>
      <c r="C73" s="67"/>
      <c r="D73" s="67"/>
      <c r="E73" s="67"/>
      <c r="F73" s="67"/>
      <c r="G73" s="67"/>
    </row>
  </sheetData>
  <mergeCells count="6">
    <mergeCell ref="A73:G73"/>
    <mergeCell ref="A4:A5"/>
    <mergeCell ref="B4:B5"/>
    <mergeCell ref="F4:F5"/>
    <mergeCell ref="G4:G5"/>
    <mergeCell ref="A72:G7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74"/>
  <sheetViews>
    <sheetView workbookViewId="0"/>
  </sheetViews>
  <sheetFormatPr defaultRowHeight="12.75" x14ac:dyDescent="0.2"/>
  <cols>
    <col min="1" max="1" width="30.7109375" customWidth="1"/>
    <col min="2" max="7" width="11.7109375" customWidth="1"/>
    <col min="10" max="10" width="11.5703125" customWidth="1"/>
  </cols>
  <sheetData>
    <row r="1" spans="1:7" ht="38.25" customHeight="1" x14ac:dyDescent="0.2">
      <c r="A1" s="12" t="s">
        <v>256</v>
      </c>
      <c r="B1" s="10"/>
      <c r="C1" s="10"/>
      <c r="D1" s="10"/>
      <c r="E1" s="10"/>
      <c r="F1" s="10"/>
      <c r="G1" s="12" t="s">
        <v>266</v>
      </c>
    </row>
    <row r="2" spans="1:7" x14ac:dyDescent="0.2">
      <c r="A2" s="13" t="s">
        <v>267</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53887.303</v>
      </c>
      <c r="C6" s="17">
        <v>0</v>
      </c>
      <c r="D6" s="17">
        <v>61142.675999999999</v>
      </c>
      <c r="E6" s="17">
        <v>61142.675999999999</v>
      </c>
      <c r="F6" s="17">
        <v>0</v>
      </c>
      <c r="G6" s="18">
        <f>IF(AND(F72&lt;&gt;0,0&lt;&gt;0),IF(100*0/(F72-0)&lt;0.005,"*",100*0/(F72-0)),0)</f>
        <v>0</v>
      </c>
    </row>
    <row r="7" spans="1:7" x14ac:dyDescent="0.2">
      <c r="A7" s="11" t="s">
        <v>112</v>
      </c>
      <c r="B7" s="17">
        <v>11063.513000000001</v>
      </c>
      <c r="C7" s="17">
        <v>0</v>
      </c>
      <c r="D7" s="17">
        <v>11305.117</v>
      </c>
      <c r="E7" s="17">
        <v>11305.117</v>
      </c>
      <c r="F7" s="17">
        <v>0</v>
      </c>
      <c r="G7" s="18">
        <f>IF(AND(F72&lt;&gt;0,0&lt;&gt;0),IF(100*0/(F72-0)&lt;0.005,"*",100*0/(F72-0)),0)</f>
        <v>0</v>
      </c>
    </row>
    <row r="8" spans="1:7" x14ac:dyDescent="0.2">
      <c r="A8" s="11" t="s">
        <v>113</v>
      </c>
      <c r="B8" s="17">
        <v>28240.252</v>
      </c>
      <c r="C8" s="17">
        <v>0</v>
      </c>
      <c r="D8" s="17">
        <v>28592.386999999999</v>
      </c>
      <c r="E8" s="17">
        <v>28592.386999999999</v>
      </c>
      <c r="F8" s="17">
        <v>0</v>
      </c>
      <c r="G8" s="18">
        <f>IF(AND(F72&lt;&gt;0,0&lt;&gt;0),IF(100*0/(F72-0)&lt;0.005,"*",100*0/(F72-0)),0)</f>
        <v>0</v>
      </c>
    </row>
    <row r="9" spans="1:7" x14ac:dyDescent="0.2">
      <c r="A9" s="11" t="s">
        <v>114</v>
      </c>
      <c r="B9" s="17">
        <v>30562.138999999999</v>
      </c>
      <c r="C9" s="17">
        <v>0</v>
      </c>
      <c r="D9" s="17">
        <v>33108.910000000003</v>
      </c>
      <c r="E9" s="17">
        <v>33108.910000000003</v>
      </c>
      <c r="F9" s="17">
        <v>0</v>
      </c>
      <c r="G9" s="18">
        <f>IF(AND(F72&lt;&gt;0,0&lt;&gt;0),IF(100*0/(F72-0)&lt;0.005,"*",100*0/(F72-0)),0)</f>
        <v>0</v>
      </c>
    </row>
    <row r="10" spans="1:7" x14ac:dyDescent="0.2">
      <c r="A10" s="11" t="s">
        <v>115</v>
      </c>
      <c r="B10" s="17">
        <v>204369.272</v>
      </c>
      <c r="C10" s="17">
        <v>0</v>
      </c>
      <c r="D10" s="17">
        <v>205301.307</v>
      </c>
      <c r="E10" s="17">
        <v>205301.307</v>
      </c>
      <c r="F10" s="17">
        <v>0</v>
      </c>
      <c r="G10" s="18">
        <f>IF(AND(F72&lt;&gt;0,0&lt;&gt;0),IF(100*0/(F72-0)&lt;0.005,"*",100*0/(F72-0)),0)</f>
        <v>0</v>
      </c>
    </row>
    <row r="11" spans="1:7" x14ac:dyDescent="0.2">
      <c r="A11" s="11" t="s">
        <v>116</v>
      </c>
      <c r="B11" s="17">
        <v>53821.752999999997</v>
      </c>
      <c r="C11" s="17">
        <v>0</v>
      </c>
      <c r="D11" s="17">
        <v>61658.279000000002</v>
      </c>
      <c r="E11" s="17">
        <v>61658.279000000002</v>
      </c>
      <c r="F11" s="17">
        <v>0</v>
      </c>
      <c r="G11" s="18">
        <f>IF(AND(F72&lt;&gt;0,0&lt;&gt;0),IF(100*0/(F72-0)&lt;0.005,"*",100*0/(F72-0)),0)</f>
        <v>0</v>
      </c>
    </row>
    <row r="12" spans="1:7" x14ac:dyDescent="0.2">
      <c r="A12" s="11" t="s">
        <v>117</v>
      </c>
      <c r="B12" s="17">
        <v>75327.952000000005</v>
      </c>
      <c r="C12" s="17">
        <v>0</v>
      </c>
      <c r="D12" s="17">
        <v>73032.152000000002</v>
      </c>
      <c r="E12" s="17">
        <v>73032.152000000002</v>
      </c>
      <c r="F12" s="17">
        <v>0</v>
      </c>
      <c r="G12" s="18">
        <f>IF(AND(F72&lt;&gt;0,0&lt;&gt;0),IF(100*0/(F72-0)&lt;0.005,"*",100*0/(F72-0)),0)</f>
        <v>0</v>
      </c>
    </row>
    <row r="13" spans="1:7" x14ac:dyDescent="0.2">
      <c r="A13" s="11" t="s">
        <v>118</v>
      </c>
      <c r="B13" s="17">
        <v>12959.903</v>
      </c>
      <c r="C13" s="17">
        <v>0</v>
      </c>
      <c r="D13" s="17">
        <v>13368.391</v>
      </c>
      <c r="E13" s="17">
        <v>13368.391</v>
      </c>
      <c r="F13" s="17">
        <v>0</v>
      </c>
      <c r="G13" s="18">
        <f>IF(AND(F72&lt;&gt;0,0&lt;&gt;0),IF(100*0/(F72-0)&lt;0.005,"*",100*0/(F72-0)),0)</f>
        <v>0</v>
      </c>
    </row>
    <row r="14" spans="1:7" x14ac:dyDescent="0.2">
      <c r="A14" s="11" t="s">
        <v>119</v>
      </c>
      <c r="B14" s="17">
        <v>11194.786</v>
      </c>
      <c r="C14" s="17">
        <v>0</v>
      </c>
      <c r="D14" s="17">
        <v>11439.253000000001</v>
      </c>
      <c r="E14" s="17">
        <v>11439.253000000001</v>
      </c>
      <c r="F14" s="17">
        <v>0</v>
      </c>
      <c r="G14" s="18">
        <f>IF(AND(F72&lt;&gt;0,0&lt;&gt;0),IF(100*0/(F72-0)&lt;0.005,"*",100*0/(F72-0)),0)</f>
        <v>0</v>
      </c>
    </row>
    <row r="15" spans="1:7" x14ac:dyDescent="0.2">
      <c r="A15" s="11" t="s">
        <v>120</v>
      </c>
      <c r="B15" s="17">
        <v>96785.279999999999</v>
      </c>
      <c r="C15" s="17">
        <v>0</v>
      </c>
      <c r="D15" s="17">
        <v>97992.370999999999</v>
      </c>
      <c r="E15" s="17">
        <v>97992.370999999999</v>
      </c>
      <c r="F15" s="17">
        <v>0</v>
      </c>
      <c r="G15" s="18">
        <f>IF(AND(F72&lt;&gt;0,0&lt;&gt;0),IF(100*0/(F72-0)&lt;0.005,"*",100*0/(F72-0)),0)</f>
        <v>0</v>
      </c>
    </row>
    <row r="16" spans="1:7" x14ac:dyDescent="0.2">
      <c r="A16" s="11" t="s">
        <v>121</v>
      </c>
      <c r="B16" s="17">
        <v>76535.608999999997</v>
      </c>
      <c r="C16" s="17">
        <v>0</v>
      </c>
      <c r="D16" s="17">
        <v>77490.149999999994</v>
      </c>
      <c r="E16" s="17">
        <v>77490.149999999994</v>
      </c>
      <c r="F16" s="17">
        <v>0</v>
      </c>
      <c r="G16" s="18">
        <f>IF(AND(F72&lt;&gt;0,0&lt;&gt;0),IF(100*0/(F72-0)&lt;0.005,"*",100*0/(F72-0)),0)</f>
        <v>0</v>
      </c>
    </row>
    <row r="17" spans="1:7" x14ac:dyDescent="0.2">
      <c r="A17" s="11" t="s">
        <v>122</v>
      </c>
      <c r="B17" s="17">
        <v>5012.8689999999997</v>
      </c>
      <c r="C17" s="17">
        <v>0</v>
      </c>
      <c r="D17" s="17">
        <v>4943.018</v>
      </c>
      <c r="E17" s="17">
        <v>4943.018</v>
      </c>
      <c r="F17" s="17">
        <v>0</v>
      </c>
      <c r="G17" s="18">
        <f>IF(AND(F72&lt;&gt;0,0&lt;&gt;0),IF(100*0/(F72-0)&lt;0.005,"*",100*0/(F72-0)),0)</f>
        <v>0</v>
      </c>
    </row>
    <row r="18" spans="1:7" x14ac:dyDescent="0.2">
      <c r="A18" s="11" t="s">
        <v>123</v>
      </c>
      <c r="B18" s="17">
        <v>20507.847000000002</v>
      </c>
      <c r="C18" s="17">
        <v>0</v>
      </c>
      <c r="D18" s="17">
        <v>20955.689999999999</v>
      </c>
      <c r="E18" s="17">
        <v>20955.689999999999</v>
      </c>
      <c r="F18" s="17">
        <v>0</v>
      </c>
      <c r="G18" s="18">
        <f>IF(AND(F72&lt;&gt;0,0&lt;&gt;0),IF(100*0/(F72-0)&lt;0.005,"*",100*0/(F72-0)),0)</f>
        <v>0</v>
      </c>
    </row>
    <row r="19" spans="1:7" x14ac:dyDescent="0.2">
      <c r="A19" s="11" t="s">
        <v>124</v>
      </c>
      <c r="B19" s="17">
        <v>172297.361</v>
      </c>
      <c r="C19" s="17">
        <v>0</v>
      </c>
      <c r="D19" s="17">
        <v>173899.85200000001</v>
      </c>
      <c r="E19" s="17">
        <v>173899.85200000001</v>
      </c>
      <c r="F19" s="17">
        <v>0</v>
      </c>
      <c r="G19" s="18">
        <f>IF(AND(F72&lt;&gt;0,0&lt;&gt;0),IF(100*0/(F72-0)&lt;0.005,"*",100*0/(F72-0)),0)</f>
        <v>0</v>
      </c>
    </row>
    <row r="20" spans="1:7" x14ac:dyDescent="0.2">
      <c r="A20" s="11" t="s">
        <v>125</v>
      </c>
      <c r="B20" s="17">
        <v>77016.388000000006</v>
      </c>
      <c r="C20" s="17">
        <v>0</v>
      </c>
      <c r="D20" s="17">
        <v>78019.664000000004</v>
      </c>
      <c r="E20" s="17">
        <v>78019.664000000004</v>
      </c>
      <c r="F20" s="17">
        <v>0</v>
      </c>
      <c r="G20" s="18">
        <f>IF(AND(F72&lt;&gt;0,0&lt;&gt;0),IF(100*0/(F72-0)&lt;0.005,"*",100*0/(F72-0)),0)</f>
        <v>0</v>
      </c>
    </row>
    <row r="21" spans="1:7" x14ac:dyDescent="0.2">
      <c r="A21" s="11" t="s">
        <v>126</v>
      </c>
      <c r="B21" s="17">
        <v>54587.224000000002</v>
      </c>
      <c r="C21" s="17">
        <v>0</v>
      </c>
      <c r="D21" s="17">
        <v>55298.302000000003</v>
      </c>
      <c r="E21" s="17">
        <v>55298.302000000003</v>
      </c>
      <c r="F21" s="17">
        <v>0</v>
      </c>
      <c r="G21" s="18">
        <f>IF(AND(F72&lt;&gt;0,0&lt;&gt;0),IF(100*0/(F72-0)&lt;0.005,"*",100*0/(F72-0)),0)</f>
        <v>0</v>
      </c>
    </row>
    <row r="22" spans="1:7" x14ac:dyDescent="0.2">
      <c r="A22" s="11" t="s">
        <v>127</v>
      </c>
      <c r="B22" s="17">
        <v>36484.305</v>
      </c>
      <c r="C22" s="17">
        <v>0</v>
      </c>
      <c r="D22" s="17">
        <v>38176.258000000002</v>
      </c>
      <c r="E22" s="17">
        <v>38176.258000000002</v>
      </c>
      <c r="F22" s="17">
        <v>0</v>
      </c>
      <c r="G22" s="18">
        <f>IF(AND(F72&lt;&gt;0,0&lt;&gt;0),IF(100*0/(F72-0)&lt;0.005,"*",100*0/(F72-0)),0)</f>
        <v>0</v>
      </c>
    </row>
    <row r="23" spans="1:7" x14ac:dyDescent="0.2">
      <c r="A23" s="11" t="s">
        <v>128</v>
      </c>
      <c r="B23" s="17">
        <v>54749.639000000003</v>
      </c>
      <c r="C23" s="17">
        <v>0</v>
      </c>
      <c r="D23" s="17">
        <v>56579.811999999998</v>
      </c>
      <c r="E23" s="17">
        <v>56579.811999999998</v>
      </c>
      <c r="F23" s="17">
        <v>0</v>
      </c>
      <c r="G23" s="18">
        <f>IF(AND(F72&lt;&gt;0,0&lt;&gt;0),IF(100*0/(F72-0)&lt;0.005,"*",100*0/(F72-0)),0)</f>
        <v>0</v>
      </c>
    </row>
    <row r="24" spans="1:7" x14ac:dyDescent="0.2">
      <c r="A24" s="11" t="s">
        <v>129</v>
      </c>
      <c r="B24" s="17">
        <v>50914.267</v>
      </c>
      <c r="C24" s="17">
        <v>0</v>
      </c>
      <c r="D24" s="17">
        <v>55804.633000000002</v>
      </c>
      <c r="E24" s="17">
        <v>55804.633000000002</v>
      </c>
      <c r="F24" s="17">
        <v>0</v>
      </c>
      <c r="G24" s="18">
        <f>IF(AND(F72&lt;&gt;0,0&lt;&gt;0),IF(100*0/(F72-0)&lt;0.005,"*",100*0/(F72-0)),0)</f>
        <v>0</v>
      </c>
    </row>
    <row r="25" spans="1:7" x14ac:dyDescent="0.2">
      <c r="A25" s="11" t="s">
        <v>130</v>
      </c>
      <c r="B25" s="17">
        <v>38361.824999999997</v>
      </c>
      <c r="C25" s="17">
        <v>0</v>
      </c>
      <c r="D25" s="17">
        <v>38861.542000000001</v>
      </c>
      <c r="E25" s="17">
        <v>38861.542000000001</v>
      </c>
      <c r="F25" s="17">
        <v>0</v>
      </c>
      <c r="G25" s="18">
        <f>IF(AND(F72&lt;&gt;0,0&lt;&gt;0),IF(100*0/(F72-0)&lt;0.005,"*",100*0/(F72-0)),0)</f>
        <v>0</v>
      </c>
    </row>
    <row r="26" spans="1:7" x14ac:dyDescent="0.2">
      <c r="A26" s="11" t="s">
        <v>131</v>
      </c>
      <c r="B26" s="17">
        <v>78998.898000000001</v>
      </c>
      <c r="C26" s="17">
        <v>0</v>
      </c>
      <c r="D26" s="17">
        <v>80013.115000000005</v>
      </c>
      <c r="E26" s="17">
        <v>80013.115000000005</v>
      </c>
      <c r="F26" s="17">
        <v>0</v>
      </c>
      <c r="G26" s="18">
        <f>IF(AND(F72&lt;&gt;0,0&lt;&gt;0),IF(100*0/(F72-0)&lt;0.005,"*",100*0/(F72-0)),0)</f>
        <v>0</v>
      </c>
    </row>
    <row r="27" spans="1:7" x14ac:dyDescent="0.2">
      <c r="A27" s="11" t="s">
        <v>132</v>
      </c>
      <c r="B27" s="17">
        <v>136352.89300000001</v>
      </c>
      <c r="C27" s="17">
        <v>0</v>
      </c>
      <c r="D27" s="17">
        <v>132190.429</v>
      </c>
      <c r="E27" s="17">
        <v>132190.429</v>
      </c>
      <c r="F27" s="17">
        <v>0</v>
      </c>
      <c r="G27" s="18">
        <f>IF(AND(F72&lt;&gt;0,0&lt;&gt;0),IF(100*0/(F72-0)&lt;0.005,"*",100*0/(F72-0)),0)</f>
        <v>0</v>
      </c>
    </row>
    <row r="28" spans="1:7" x14ac:dyDescent="0.2">
      <c r="A28" s="11" t="s">
        <v>133</v>
      </c>
      <c r="B28" s="17">
        <v>165357.64600000001</v>
      </c>
      <c r="C28" s="17">
        <v>0</v>
      </c>
      <c r="D28" s="17">
        <v>162672.842</v>
      </c>
      <c r="E28" s="17">
        <v>162672.842</v>
      </c>
      <c r="F28" s="17">
        <v>0</v>
      </c>
      <c r="G28" s="18">
        <f>IF(AND(F72&lt;&gt;0,0&lt;&gt;0),IF(100*0/(F72-0)&lt;0.005,"*",100*0/(F72-0)),0)</f>
        <v>0</v>
      </c>
    </row>
    <row r="29" spans="1:7" x14ac:dyDescent="0.2">
      <c r="A29" s="11" t="s">
        <v>134</v>
      </c>
      <c r="B29" s="17">
        <v>116357.841</v>
      </c>
      <c r="C29" s="17">
        <v>0</v>
      </c>
      <c r="D29" s="17">
        <v>117873.568</v>
      </c>
      <c r="E29" s="17">
        <v>117873.568</v>
      </c>
      <c r="F29" s="17">
        <v>0</v>
      </c>
      <c r="G29" s="18">
        <f>IF(AND(F72&lt;&gt;0,0&lt;&gt;0),IF(100*0/(F72-0)&lt;0.005,"*",100*0/(F72-0)),0)</f>
        <v>0</v>
      </c>
    </row>
    <row r="30" spans="1:7" x14ac:dyDescent="0.2">
      <c r="A30" s="11" t="s">
        <v>135</v>
      </c>
      <c r="B30" s="17">
        <v>32218.286</v>
      </c>
      <c r="C30" s="17">
        <v>0</v>
      </c>
      <c r="D30" s="17">
        <v>36614.355000000003</v>
      </c>
      <c r="E30" s="17">
        <v>36614.355000000003</v>
      </c>
      <c r="F30" s="17">
        <v>0</v>
      </c>
      <c r="G30" s="18">
        <f>IF(AND(F72&lt;&gt;0,0&lt;&gt;0),IF(100*0/(F72-0)&lt;0.005,"*",100*0/(F72-0)),0)</f>
        <v>0</v>
      </c>
    </row>
    <row r="31" spans="1:7" x14ac:dyDescent="0.2">
      <c r="A31" s="11" t="s">
        <v>136</v>
      </c>
      <c r="B31" s="17">
        <v>80257.558999999994</v>
      </c>
      <c r="C31" s="17">
        <v>0</v>
      </c>
      <c r="D31" s="17">
        <v>83198.517999999996</v>
      </c>
      <c r="E31" s="17">
        <v>83198.517999999996</v>
      </c>
      <c r="F31" s="17">
        <v>0</v>
      </c>
      <c r="G31" s="18">
        <f>IF(AND(F72&lt;&gt;0,0&lt;&gt;0),IF(100*0/(F72-0)&lt;0.005,"*",100*0/(F72-0)),0)</f>
        <v>0</v>
      </c>
    </row>
    <row r="32" spans="1:7" x14ac:dyDescent="0.2">
      <c r="A32" s="11" t="s">
        <v>137</v>
      </c>
      <c r="B32" s="17">
        <v>20861.870999999999</v>
      </c>
      <c r="C32" s="17">
        <v>0</v>
      </c>
      <c r="D32" s="17">
        <v>21317.442999999999</v>
      </c>
      <c r="E32" s="17">
        <v>21317.442999999999</v>
      </c>
      <c r="F32" s="17">
        <v>0</v>
      </c>
      <c r="G32" s="18">
        <f>IF(AND(F72&lt;&gt;0,0&lt;&gt;0),IF(100*0/(F72-0)&lt;0.005,"*",100*0/(F72-0)),0)</f>
        <v>0</v>
      </c>
    </row>
    <row r="33" spans="1:7" x14ac:dyDescent="0.2">
      <c r="A33" s="11" t="s">
        <v>138</v>
      </c>
      <c r="B33" s="17">
        <v>31643.478999999999</v>
      </c>
      <c r="C33" s="17">
        <v>0</v>
      </c>
      <c r="D33" s="17">
        <v>32334.723999999998</v>
      </c>
      <c r="E33" s="17">
        <v>32334.723999999998</v>
      </c>
      <c r="F33" s="17">
        <v>0</v>
      </c>
      <c r="G33" s="18">
        <f>IF(AND(F72&lt;&gt;0,0&lt;&gt;0),IF(100*0/(F72-0)&lt;0.005,"*",100*0/(F72-0)),0)</f>
        <v>0</v>
      </c>
    </row>
    <row r="34" spans="1:7" x14ac:dyDescent="0.2">
      <c r="A34" s="11" t="s">
        <v>139</v>
      </c>
      <c r="B34" s="17">
        <v>13895.655000000001</v>
      </c>
      <c r="C34" s="17">
        <v>0</v>
      </c>
      <c r="D34" s="17">
        <v>14068.959000000001</v>
      </c>
      <c r="E34" s="17">
        <v>14068.959000000001</v>
      </c>
      <c r="F34" s="17">
        <v>0</v>
      </c>
      <c r="G34" s="18">
        <f>IF(AND(F72&lt;&gt;0,0&lt;&gt;0),IF(100*0/(F72-0)&lt;0.005,"*",100*0/(F72-0)),0)</f>
        <v>0</v>
      </c>
    </row>
    <row r="35" spans="1:7" x14ac:dyDescent="0.2">
      <c r="A35" s="11" t="s">
        <v>140</v>
      </c>
      <c r="B35" s="17">
        <v>27292.633999999998</v>
      </c>
      <c r="C35" s="17">
        <v>0</v>
      </c>
      <c r="D35" s="17">
        <v>27888.637999999999</v>
      </c>
      <c r="E35" s="17">
        <v>27888.637999999999</v>
      </c>
      <c r="F35" s="17">
        <v>0</v>
      </c>
      <c r="G35" s="18">
        <f>IF(AND(F72&lt;&gt;0,0&lt;&gt;0),IF(100*0/(F72-0)&lt;0.005,"*",100*0/(F72-0)),0)</f>
        <v>0</v>
      </c>
    </row>
    <row r="36" spans="1:7" x14ac:dyDescent="0.2">
      <c r="A36" s="11" t="s">
        <v>141</v>
      </c>
      <c r="B36" s="17">
        <v>124095.754</v>
      </c>
      <c r="C36" s="17">
        <v>0</v>
      </c>
      <c r="D36" s="17">
        <v>121729.56299999999</v>
      </c>
      <c r="E36" s="17">
        <v>121729.56299999999</v>
      </c>
      <c r="F36" s="17">
        <v>0</v>
      </c>
      <c r="G36" s="18">
        <f>IF(AND(F72&lt;&gt;0,0&lt;&gt;0),IF(100*0/(F72-0)&lt;0.005,"*",100*0/(F72-0)),0)</f>
        <v>0</v>
      </c>
    </row>
    <row r="37" spans="1:7" x14ac:dyDescent="0.2">
      <c r="A37" s="11" t="s">
        <v>142</v>
      </c>
      <c r="B37" s="17">
        <v>19923.754000000001</v>
      </c>
      <c r="C37" s="17">
        <v>0</v>
      </c>
      <c r="D37" s="17">
        <v>21746.827000000001</v>
      </c>
      <c r="E37" s="17">
        <v>21746.827000000001</v>
      </c>
      <c r="F37" s="17">
        <v>0</v>
      </c>
      <c r="G37" s="18">
        <f>IF(AND(F72&lt;&gt;0,0&lt;&gt;0),IF(100*0/(F72-0)&lt;0.005,"*",100*0/(F72-0)),0)</f>
        <v>0</v>
      </c>
    </row>
    <row r="38" spans="1:7" x14ac:dyDescent="0.2">
      <c r="A38" s="11" t="s">
        <v>143</v>
      </c>
      <c r="B38" s="17">
        <v>372460.842</v>
      </c>
      <c r="C38" s="17">
        <v>0</v>
      </c>
      <c r="D38" s="17">
        <v>377312.67599999998</v>
      </c>
      <c r="E38" s="17">
        <v>377312.67599999998</v>
      </c>
      <c r="F38" s="17">
        <v>0</v>
      </c>
      <c r="G38" s="18">
        <f>IF(AND(F72&lt;&gt;0,0&lt;&gt;0),IF(100*0/(F72-0)&lt;0.005,"*",100*0/(F72-0)),0)</f>
        <v>0</v>
      </c>
    </row>
    <row r="39" spans="1:7" x14ac:dyDescent="0.2">
      <c r="A39" s="11" t="s">
        <v>144</v>
      </c>
      <c r="B39" s="17">
        <v>96714.462</v>
      </c>
      <c r="C39" s="17">
        <v>0</v>
      </c>
      <c r="D39" s="17">
        <v>103021.488</v>
      </c>
      <c r="E39" s="17">
        <v>103021.488</v>
      </c>
      <c r="F39" s="17">
        <v>0</v>
      </c>
      <c r="G39" s="18">
        <f>IF(AND(F72&lt;&gt;0,0&lt;&gt;0),IF(100*0/(F72-0)&lt;0.005,"*",100*0/(F72-0)),0)</f>
        <v>0</v>
      </c>
    </row>
    <row r="40" spans="1:7" x14ac:dyDescent="0.2">
      <c r="A40" s="11" t="s">
        <v>145</v>
      </c>
      <c r="B40" s="17">
        <v>20871.881000000001</v>
      </c>
      <c r="C40" s="17">
        <v>0</v>
      </c>
      <c r="D40" s="17">
        <v>21327.670999999998</v>
      </c>
      <c r="E40" s="17">
        <v>21327.670999999998</v>
      </c>
      <c r="F40" s="17">
        <v>0</v>
      </c>
      <c r="G40" s="18">
        <f>IF(AND(F72&lt;&gt;0,0&lt;&gt;0),IF(100*0/(F72-0)&lt;0.005,"*",100*0/(F72-0)),0)</f>
        <v>0</v>
      </c>
    </row>
    <row r="41" spans="1:7" x14ac:dyDescent="0.2">
      <c r="A41" s="11" t="s">
        <v>146</v>
      </c>
      <c r="B41" s="17">
        <v>155039.12299999999</v>
      </c>
      <c r="C41" s="17">
        <v>0</v>
      </c>
      <c r="D41" s="17">
        <v>156594.87700000001</v>
      </c>
      <c r="E41" s="17">
        <v>156594.87700000001</v>
      </c>
      <c r="F41" s="17">
        <v>0</v>
      </c>
      <c r="G41" s="18">
        <f>IF(AND(F72&lt;&gt;0,0&lt;&gt;0),IF(100*0/(F72-0)&lt;0.005,"*",100*0/(F72-0)),0)</f>
        <v>0</v>
      </c>
    </row>
    <row r="42" spans="1:7" x14ac:dyDescent="0.2">
      <c r="A42" s="11" t="s">
        <v>147</v>
      </c>
      <c r="B42" s="17">
        <v>38178.836000000003</v>
      </c>
      <c r="C42" s="17">
        <v>0</v>
      </c>
      <c r="D42" s="17">
        <v>43890.527000000002</v>
      </c>
      <c r="E42" s="17">
        <v>43890.527000000002</v>
      </c>
      <c r="F42" s="17">
        <v>0</v>
      </c>
      <c r="G42" s="18">
        <f>IF(AND(F72&lt;&gt;0,0&lt;&gt;0),IF(100*0/(F72-0)&lt;0.005,"*",100*0/(F72-0)),0)</f>
        <v>0</v>
      </c>
    </row>
    <row r="43" spans="1:7" x14ac:dyDescent="0.2">
      <c r="A43" s="11" t="s">
        <v>148</v>
      </c>
      <c r="B43" s="17">
        <v>35866</v>
      </c>
      <c r="C43" s="17">
        <v>0</v>
      </c>
      <c r="D43" s="17">
        <v>38364.218999999997</v>
      </c>
      <c r="E43" s="17">
        <v>38364.218999999997</v>
      </c>
      <c r="F43" s="17">
        <v>0</v>
      </c>
      <c r="G43" s="18">
        <f>IF(AND(F72&lt;&gt;0,0&lt;&gt;0),IF(100*0/(F72-0)&lt;0.005,"*",100*0/(F72-0)),0)</f>
        <v>0</v>
      </c>
    </row>
    <row r="44" spans="1:7" x14ac:dyDescent="0.2">
      <c r="A44" s="11" t="s">
        <v>149</v>
      </c>
      <c r="B44" s="17">
        <v>206608.611</v>
      </c>
      <c r="C44" s="17">
        <v>0</v>
      </c>
      <c r="D44" s="17">
        <v>202960.78099999999</v>
      </c>
      <c r="E44" s="17">
        <v>202960.78099999999</v>
      </c>
      <c r="F44" s="17">
        <v>0</v>
      </c>
      <c r="G44" s="18">
        <f>IF(AND(F72&lt;&gt;0,0&lt;&gt;0),IF(100*0/(F72-0)&lt;0.005,"*",100*0/(F72-0)),0)</f>
        <v>0</v>
      </c>
    </row>
    <row r="45" spans="1:7" x14ac:dyDescent="0.2">
      <c r="A45" s="11" t="s">
        <v>150</v>
      </c>
      <c r="B45" s="17">
        <v>23694.327000000001</v>
      </c>
      <c r="C45" s="17">
        <v>0</v>
      </c>
      <c r="D45" s="17">
        <v>24211.731</v>
      </c>
      <c r="E45" s="17">
        <v>24211.731</v>
      </c>
      <c r="F45" s="17">
        <v>0</v>
      </c>
      <c r="G45" s="18">
        <f>IF(AND(F72&lt;&gt;0,0&lt;&gt;0),IF(100*0/(F72-0)&lt;0.005,"*",100*0/(F72-0)),0)</f>
        <v>0</v>
      </c>
    </row>
    <row r="46" spans="1:7" x14ac:dyDescent="0.2">
      <c r="A46" s="11" t="s">
        <v>151</v>
      </c>
      <c r="B46" s="17">
        <v>45509.794999999998</v>
      </c>
      <c r="C46" s="17">
        <v>0</v>
      </c>
      <c r="D46" s="17">
        <v>49004.387000000002</v>
      </c>
      <c r="E46" s="17">
        <v>49004.387000000002</v>
      </c>
      <c r="F46" s="17">
        <v>0</v>
      </c>
      <c r="G46" s="18">
        <f>IF(AND(F72&lt;&gt;0,0&lt;&gt;0),IF(100*0/(F72-0)&lt;0.005,"*",100*0/(F72-0)),0)</f>
        <v>0</v>
      </c>
    </row>
    <row r="47" spans="1:7" x14ac:dyDescent="0.2">
      <c r="A47" s="11" t="s">
        <v>152</v>
      </c>
      <c r="B47" s="17">
        <v>18822.991000000002</v>
      </c>
      <c r="C47" s="17">
        <v>0</v>
      </c>
      <c r="D47" s="17">
        <v>19234.04</v>
      </c>
      <c r="E47" s="17">
        <v>19234.04</v>
      </c>
      <c r="F47" s="17">
        <v>0</v>
      </c>
      <c r="G47" s="18">
        <f>IF(AND(F72&lt;&gt;0,0&lt;&gt;0),IF(100*0/(F72-0)&lt;0.005,"*",100*0/(F72-0)),0)</f>
        <v>0</v>
      </c>
    </row>
    <row r="48" spans="1:7" x14ac:dyDescent="0.2">
      <c r="A48" s="11" t="s">
        <v>153</v>
      </c>
      <c r="B48" s="17">
        <v>65675.797000000006</v>
      </c>
      <c r="C48" s="17">
        <v>0</v>
      </c>
      <c r="D48" s="17">
        <v>72424.214999999997</v>
      </c>
      <c r="E48" s="17">
        <v>72424.214999999997</v>
      </c>
      <c r="F48" s="17">
        <v>0</v>
      </c>
      <c r="G48" s="18">
        <f>IF(AND(F72&lt;&gt;0,0&lt;&gt;0),IF(100*0/(F72-0)&lt;0.005,"*",100*0/(F72-0)),0)</f>
        <v>0</v>
      </c>
    </row>
    <row r="49" spans="1:7" x14ac:dyDescent="0.2">
      <c r="A49" s="11" t="s">
        <v>154</v>
      </c>
      <c r="B49" s="17">
        <v>161043.67300000001</v>
      </c>
      <c r="C49" s="17">
        <v>0</v>
      </c>
      <c r="D49" s="17">
        <v>163052.18599999999</v>
      </c>
      <c r="E49" s="17">
        <v>163052.18599999999</v>
      </c>
      <c r="F49" s="17">
        <v>0</v>
      </c>
      <c r="G49" s="18">
        <f>IF(AND(F72&lt;&gt;0,0&lt;&gt;0),IF(100*0/(F72-0)&lt;0.005,"*",100*0/(F72-0)),0)</f>
        <v>0</v>
      </c>
    </row>
    <row r="50" spans="1:7" x14ac:dyDescent="0.2">
      <c r="A50" s="11" t="s">
        <v>155</v>
      </c>
      <c r="B50" s="17">
        <v>25319.266</v>
      </c>
      <c r="C50" s="17">
        <v>0</v>
      </c>
      <c r="D50" s="17">
        <v>25872.175999999999</v>
      </c>
      <c r="E50" s="17">
        <v>25872.175999999999</v>
      </c>
      <c r="F50" s="17">
        <v>0</v>
      </c>
      <c r="G50" s="18">
        <f>IF(AND(F72&lt;&gt;0,0&lt;&gt;0),IF(100*0/(F72-0)&lt;0.005,"*",100*0/(F72-0)),0)</f>
        <v>0</v>
      </c>
    </row>
    <row r="51" spans="1:7" x14ac:dyDescent="0.2">
      <c r="A51" s="11" t="s">
        <v>156</v>
      </c>
      <c r="B51" s="17">
        <v>20456.800999999999</v>
      </c>
      <c r="C51" s="17">
        <v>0</v>
      </c>
      <c r="D51" s="17">
        <v>20903.526999999998</v>
      </c>
      <c r="E51" s="17">
        <v>20903.526999999998</v>
      </c>
      <c r="F51" s="17">
        <v>0</v>
      </c>
      <c r="G51" s="18">
        <f>IF(AND(F72&lt;&gt;0,0&lt;&gt;0),IF(100*0/(F72-0)&lt;0.005,"*",100*0/(F72-0)),0)</f>
        <v>0</v>
      </c>
    </row>
    <row r="52" spans="1:7" x14ac:dyDescent="0.2">
      <c r="A52" s="11" t="s">
        <v>157</v>
      </c>
      <c r="B52" s="17">
        <v>91332.915999999997</v>
      </c>
      <c r="C52" s="17">
        <v>0</v>
      </c>
      <c r="D52" s="17">
        <v>95393.44</v>
      </c>
      <c r="E52" s="17">
        <v>95393.44</v>
      </c>
      <c r="F52" s="17">
        <v>0</v>
      </c>
      <c r="G52" s="18">
        <f>IF(AND(F72&lt;&gt;0,0&lt;&gt;0),IF(100*0/(F72-0)&lt;0.005,"*",100*0/(F72-0)),0)</f>
        <v>0</v>
      </c>
    </row>
    <row r="53" spans="1:7" x14ac:dyDescent="0.2">
      <c r="A53" s="11" t="s">
        <v>158</v>
      </c>
      <c r="B53" s="17">
        <v>57933.682999999997</v>
      </c>
      <c r="C53" s="17">
        <v>0</v>
      </c>
      <c r="D53" s="17">
        <v>65779.692999999999</v>
      </c>
      <c r="E53" s="17">
        <v>65779.692999999999</v>
      </c>
      <c r="F53" s="17">
        <v>0</v>
      </c>
      <c r="G53" s="18">
        <f>IF(AND(F72&lt;&gt;0,0&lt;&gt;0),IF(100*0/(F72-0)&lt;0.005,"*",100*0/(F72-0)),0)</f>
        <v>0</v>
      </c>
    </row>
    <row r="54" spans="1:7" x14ac:dyDescent="0.2">
      <c r="A54" s="11" t="s">
        <v>159</v>
      </c>
      <c r="B54" s="17">
        <v>31110.26</v>
      </c>
      <c r="C54" s="17">
        <v>0</v>
      </c>
      <c r="D54" s="17">
        <v>31789.631000000001</v>
      </c>
      <c r="E54" s="17">
        <v>31789.631000000001</v>
      </c>
      <c r="F54" s="17">
        <v>0</v>
      </c>
      <c r="G54" s="18">
        <f>IF(AND(F72&lt;&gt;0,0&lt;&gt;0),IF(100*0/(F72-0)&lt;0.005,"*",100*0/(F72-0)),0)</f>
        <v>0</v>
      </c>
    </row>
    <row r="55" spans="1:7" x14ac:dyDescent="0.2">
      <c r="A55" s="11" t="s">
        <v>160</v>
      </c>
      <c r="B55" s="17">
        <v>104738.764</v>
      </c>
      <c r="C55" s="17">
        <v>0</v>
      </c>
      <c r="D55" s="17">
        <v>106103.137</v>
      </c>
      <c r="E55" s="17">
        <v>106103.137</v>
      </c>
      <c r="F55" s="17">
        <v>0</v>
      </c>
      <c r="G55" s="18">
        <f>IF(AND(F72&lt;&gt;0,0&lt;&gt;0),IF(100*0/(F72-0)&lt;0.005,"*",100*0/(F72-0)),0)</f>
        <v>0</v>
      </c>
    </row>
    <row r="56" spans="1:7" x14ac:dyDescent="0.2">
      <c r="A56" s="11" t="s">
        <v>161</v>
      </c>
      <c r="B56" s="17">
        <v>9942.61</v>
      </c>
      <c r="C56" s="17">
        <v>0</v>
      </c>
      <c r="D56" s="17">
        <v>10005.183000000001</v>
      </c>
      <c r="E56" s="17">
        <v>10005.183000000001</v>
      </c>
      <c r="F56" s="17">
        <v>0</v>
      </c>
      <c r="G56" s="18">
        <f>IF(AND(F72&lt;&gt;0,0&lt;&gt;0),IF(100*0/(F72-0)&lt;0.005,"*",100*0/(F72-0)),0)</f>
        <v>0</v>
      </c>
    </row>
    <row r="57" spans="1:7" x14ac:dyDescent="0.2">
      <c r="A57" s="11" t="s">
        <v>162</v>
      </c>
      <c r="B57" s="17">
        <v>302.08300000000003</v>
      </c>
      <c r="C57" s="17">
        <v>0</v>
      </c>
      <c r="D57" s="17">
        <v>308.68299999999999</v>
      </c>
      <c r="E57" s="17">
        <v>308.68299999999999</v>
      </c>
      <c r="F57" s="17">
        <v>0</v>
      </c>
      <c r="G57" s="18">
        <f>IF(AND(F72&lt;&gt;0,0&lt;&gt;0),IF(100*0/(F72-0)&lt;0.005,"*",100*0/(F72-0)),0)</f>
        <v>0</v>
      </c>
    </row>
    <row r="58" spans="1:7" x14ac:dyDescent="0.2">
      <c r="A58" s="11" t="s">
        <v>163</v>
      </c>
      <c r="B58" s="17">
        <v>662.30700000000002</v>
      </c>
      <c r="C58" s="17">
        <v>0</v>
      </c>
      <c r="D58" s="17">
        <v>676.77800000000002</v>
      </c>
      <c r="E58" s="17">
        <v>676.77800000000002</v>
      </c>
      <c r="F58" s="17">
        <v>0</v>
      </c>
      <c r="G58" s="18">
        <f>IF(AND(F72&lt;&gt;0,0&lt;&gt;0),IF(100*0/(F72-0)&lt;0.005,"*",100*0/(F72-0)),0)</f>
        <v>0</v>
      </c>
    </row>
    <row r="59" spans="1:7" x14ac:dyDescent="0.2">
      <c r="A59" s="11" t="s">
        <v>164</v>
      </c>
      <c r="B59" s="17">
        <v>230.03700000000001</v>
      </c>
      <c r="C59" s="17">
        <v>0</v>
      </c>
      <c r="D59" s="17">
        <v>235.06399999999999</v>
      </c>
      <c r="E59" s="17">
        <v>235.06399999999999</v>
      </c>
      <c r="F59" s="17">
        <v>0</v>
      </c>
      <c r="G59" s="18">
        <f>IF(AND(F72&lt;&gt;0,0&lt;&gt;0),IF(100*0/(F72-0)&lt;0.005,"*",100*0/(F72-0)),0)</f>
        <v>0</v>
      </c>
    </row>
    <row r="60" spans="1:7" x14ac:dyDescent="0.2">
      <c r="A60" s="11" t="s">
        <v>165</v>
      </c>
      <c r="B60" s="17">
        <v>16440.232</v>
      </c>
      <c r="C60" s="17">
        <v>0</v>
      </c>
      <c r="D60" s="17">
        <v>16799.446</v>
      </c>
      <c r="E60" s="17">
        <v>16799.446</v>
      </c>
      <c r="F60" s="17">
        <v>0</v>
      </c>
      <c r="G60" s="18">
        <f>IF(AND(F72&lt;&gt;0,0&lt;&gt;0),IF(100*0/(F72-0)&lt;0.005,"*",100*0/(F72-0)),0)</f>
        <v>0</v>
      </c>
    </row>
    <row r="61" spans="1:7" x14ac:dyDescent="0.2">
      <c r="A61" s="11" t="s">
        <v>166</v>
      </c>
      <c r="B61" s="17">
        <v>0</v>
      </c>
      <c r="C61" s="17">
        <v>0</v>
      </c>
      <c r="D61" s="17">
        <v>0</v>
      </c>
      <c r="E61" s="17">
        <v>0</v>
      </c>
      <c r="F61" s="17">
        <v>0</v>
      </c>
      <c r="G61" s="18">
        <f>IF(AND(F72&lt;&gt;0,0&lt;&gt;0),IF(100*0/(F72-0)&lt;0.005,"*",100*0/(F72-0)),0)</f>
        <v>0</v>
      </c>
    </row>
    <row r="62" spans="1:7" x14ac:dyDescent="0.2">
      <c r="A62" s="11" t="s">
        <v>167</v>
      </c>
      <c r="B62" s="17">
        <v>626.28399999999999</v>
      </c>
      <c r="C62" s="17">
        <v>0</v>
      </c>
      <c r="D62" s="17">
        <v>639.96699999999998</v>
      </c>
      <c r="E62" s="17">
        <v>639.96699999999998</v>
      </c>
      <c r="F62" s="17">
        <v>0</v>
      </c>
      <c r="G62" s="18">
        <f>IF(AND(F72&lt;&gt;0,0&lt;&gt;0),IF(100*0/(F72-0)&lt;0.005,"*",100*0/(F72-0)),0)</f>
        <v>0</v>
      </c>
    </row>
    <row r="63" spans="1:7" x14ac:dyDescent="0.2">
      <c r="A63" s="11" t="s">
        <v>168</v>
      </c>
      <c r="B63" s="17">
        <v>40671.078000000001</v>
      </c>
      <c r="C63" s="17">
        <v>0</v>
      </c>
      <c r="D63" s="17">
        <v>42791.732000000004</v>
      </c>
      <c r="E63" s="17">
        <v>42791.732000000004</v>
      </c>
      <c r="F63" s="17">
        <v>0</v>
      </c>
      <c r="G63" s="18">
        <f>IF(AND(F72&lt;&gt;0,0&lt;&gt;0),IF(100*0/(F72-0)&lt;0.005,"*",100*0/(F72-0)),0)</f>
        <v>0</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IF(AND(F72&lt;&gt;0,0&lt;&gt;0),IF(100*0/(F72-0)&lt;0.005,"*",100*0/(F72-0)),0)</f>
        <v>0</v>
      </c>
    </row>
    <row r="66" spans="1:7" x14ac:dyDescent="0.2">
      <c r="A66" s="11" t="s">
        <v>268</v>
      </c>
      <c r="B66" s="17">
        <v>0</v>
      </c>
      <c r="C66" s="17">
        <v>0</v>
      </c>
      <c r="D66" s="17">
        <v>0</v>
      </c>
      <c r="E66" s="17">
        <v>0</v>
      </c>
      <c r="F66" s="17">
        <v>0</v>
      </c>
      <c r="G66" s="18">
        <f>IF(AND(F72&lt;&gt;0,0&lt;&gt;0),IF(100*0/(F72-0)&lt;0.005,"*",100*0/(F72-0)),0)</f>
        <v>0</v>
      </c>
    </row>
    <row r="67" spans="1:7" x14ac:dyDescent="0.2">
      <c r="A67" s="11" t="s">
        <v>260</v>
      </c>
      <c r="B67" s="17">
        <v>0</v>
      </c>
      <c r="C67" s="17">
        <v>0</v>
      </c>
      <c r="D67" s="17">
        <v>0</v>
      </c>
      <c r="E67" s="17">
        <v>0</v>
      </c>
      <c r="F67" s="17">
        <v>0</v>
      </c>
      <c r="G67" s="18">
        <f>IF(AND(F72&lt;&gt;0,0&lt;&gt;0),IF(100*0/(F72-0)&lt;0.005,"*",100*0/(F72-0)),0)</f>
        <v>0</v>
      </c>
    </row>
    <row r="68" spans="1:7" x14ac:dyDescent="0.2">
      <c r="A68" s="11" t="s">
        <v>261</v>
      </c>
      <c r="B68" s="17">
        <v>0</v>
      </c>
      <c r="C68" s="17">
        <v>0</v>
      </c>
      <c r="D68" s="17">
        <v>0</v>
      </c>
      <c r="E68" s="17">
        <v>0</v>
      </c>
      <c r="F68" s="17">
        <v>0</v>
      </c>
      <c r="G68" s="18">
        <f>IF(AND(F72&lt;&gt;0,0&lt;&gt;0),IF(100*0/(F72-0)&lt;0.005,"*",100*0/(F72-0)),0)</f>
        <v>0</v>
      </c>
    </row>
    <row r="69" spans="1:7" x14ac:dyDescent="0.2">
      <c r="A69" s="11" t="s">
        <v>262</v>
      </c>
      <c r="B69" s="17">
        <v>2987.799</v>
      </c>
      <c r="C69" s="17">
        <v>0</v>
      </c>
      <c r="D69" s="17">
        <v>2988</v>
      </c>
      <c r="E69" s="17">
        <v>2988</v>
      </c>
      <c r="F69" s="17">
        <v>0</v>
      </c>
      <c r="G69" s="18">
        <f>IF(AND(F72&lt;&gt;0,0&lt;&gt;0),IF(100*0/(F72-0)&lt;0.005,"*",100*0/(F72-0)),0)</f>
        <v>0</v>
      </c>
    </row>
    <row r="70" spans="1:7" x14ac:dyDescent="0.2">
      <c r="A70" s="11" t="s">
        <v>263</v>
      </c>
      <c r="B70" s="17">
        <v>0</v>
      </c>
      <c r="C70" s="17">
        <v>0</v>
      </c>
      <c r="D70" s="17">
        <v>0</v>
      </c>
      <c r="E70" s="17">
        <v>0</v>
      </c>
      <c r="F70" s="17">
        <v>0</v>
      </c>
      <c r="G70" s="18">
        <f>IF(AND(F72&lt;&gt;0,0&lt;&gt;0),IF(100*0/(F72-0)&lt;0.005,"*",100*0/(F72-0)),0)</f>
        <v>0</v>
      </c>
    </row>
    <row r="71" spans="1:7" x14ac:dyDescent="0.2">
      <c r="A71" s="11" t="s">
        <v>184</v>
      </c>
      <c r="B71" s="17">
        <v>0</v>
      </c>
      <c r="C71" s="17">
        <v>0</v>
      </c>
      <c r="D71" s="17">
        <v>0</v>
      </c>
      <c r="E71" s="17">
        <v>0</v>
      </c>
      <c r="F71" s="17">
        <v>0</v>
      </c>
      <c r="G71" s="18">
        <f>IF(AND(F72&lt;&gt;0,0&lt;&gt;0),IF(100*0/(F72-0)&lt;0.005,"*",100*0/(F72-0)),0)</f>
        <v>0</v>
      </c>
    </row>
    <row r="72" spans="1:7" ht="15" customHeight="1" x14ac:dyDescent="0.2">
      <c r="A72" s="19" t="s">
        <v>110</v>
      </c>
      <c r="B72" s="24" t="s">
        <v>479</v>
      </c>
      <c r="C72" s="20">
        <f>0+0+0+0+0+0+0+0+0+0+0+0+0+0+0+0+0+0+0+0+0+0+0+0+0+0+0+0+0+0+0+0+0+0+0+0+0+0+0+0+0+0+0+0+0+0+0+0+0+0+0+0+0+0+0+0+0+0+0+0+0+0+0+0+0+0+0</f>
        <v>0</v>
      </c>
      <c r="D72" s="20">
        <v>3740304</v>
      </c>
      <c r="E72" s="20">
        <v>3740304</v>
      </c>
      <c r="F72" s="20">
        <f>0+0+0+0+0+0+0+0+0+0+0+0+0+0+0+0+0+0+0+0+0+0+0+0+0+0+0+0+0+0+0+0+0+0+0+0+0+0+0+0+0+0+0+0+0+0+0+0+0+0+0+0+0+0+0+0+0+0+0+0+0+0+0+0+0+0+0</f>
        <v>0</v>
      </c>
      <c r="G72" s="23" t="s">
        <v>189</v>
      </c>
    </row>
    <row r="73" spans="1:7" ht="15" customHeight="1" x14ac:dyDescent="0.2">
      <c r="A73" s="74" t="s">
        <v>171</v>
      </c>
      <c r="B73" s="74"/>
      <c r="C73" s="74"/>
      <c r="D73" s="74"/>
      <c r="E73" s="74"/>
      <c r="F73" s="74"/>
      <c r="G73" s="74"/>
    </row>
    <row r="74" spans="1:7" ht="15" customHeight="1" x14ac:dyDescent="0.2">
      <c r="A74" s="67" t="s">
        <v>478</v>
      </c>
      <c r="B74" s="67"/>
      <c r="C74" s="67"/>
      <c r="D74" s="67"/>
      <c r="E74" s="67"/>
      <c r="F74" s="67"/>
      <c r="G74" s="67"/>
    </row>
  </sheetData>
  <mergeCells count="6">
    <mergeCell ref="A74:G74"/>
    <mergeCell ref="A4:A5"/>
    <mergeCell ref="B4:B5"/>
    <mergeCell ref="F4:F5"/>
    <mergeCell ref="G4:G5"/>
    <mergeCell ref="A73:G7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73"/>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269</v>
      </c>
    </row>
    <row r="2" spans="1:7" x14ac:dyDescent="0.2">
      <c r="A2" s="13" t="s">
        <v>270</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94448</v>
      </c>
      <c r="C6" s="17">
        <v>0</v>
      </c>
      <c r="D6" s="17">
        <v>103937</v>
      </c>
      <c r="E6" s="17">
        <v>103937</v>
      </c>
      <c r="F6" s="17">
        <v>103937</v>
      </c>
      <c r="G6" s="18">
        <f>IF(AND(F71&lt;&gt;0,103937&lt;&gt;0),IF(100*103937/(F71-0)&lt;0.005,"*",100*103937/(F71-0)),0)</f>
        <v>1.7840199107449366</v>
      </c>
    </row>
    <row r="7" spans="1:7" x14ac:dyDescent="0.2">
      <c r="A7" s="11" t="s">
        <v>112</v>
      </c>
      <c r="B7" s="17">
        <v>9433</v>
      </c>
      <c r="C7" s="17">
        <v>0</v>
      </c>
      <c r="D7" s="17">
        <v>10383</v>
      </c>
      <c r="E7" s="17">
        <v>10383</v>
      </c>
      <c r="F7" s="17">
        <v>10383</v>
      </c>
      <c r="G7" s="18">
        <f>IF(AND(F71&lt;&gt;0,10383&lt;&gt;0),IF(100*10383/(F71-0)&lt;0.005,"*",100*10383/(F71-0)),0)</f>
        <v>0.1782183316168898</v>
      </c>
    </row>
    <row r="8" spans="1:7" x14ac:dyDescent="0.2">
      <c r="A8" s="11" t="s">
        <v>113</v>
      </c>
      <c r="B8" s="17">
        <v>128573</v>
      </c>
      <c r="C8" s="17">
        <v>0</v>
      </c>
      <c r="D8" s="17">
        <v>140817</v>
      </c>
      <c r="E8" s="17">
        <v>140817</v>
      </c>
      <c r="F8" s="17">
        <v>140817</v>
      </c>
      <c r="G8" s="18">
        <f>IF(AND(F71&lt;&gt;0,140817&lt;&gt;0),IF(100*140817/(F71-0)&lt;0.005,"*",100*140817/(F71-0)),0)</f>
        <v>2.4170442842430484</v>
      </c>
    </row>
    <row r="9" spans="1:7" x14ac:dyDescent="0.2">
      <c r="A9" s="11" t="s">
        <v>114</v>
      </c>
      <c r="B9" s="17">
        <v>60313</v>
      </c>
      <c r="C9" s="17">
        <v>0</v>
      </c>
      <c r="D9" s="17">
        <v>66344</v>
      </c>
      <c r="E9" s="17">
        <v>66344</v>
      </c>
      <c r="F9" s="17">
        <v>66344</v>
      </c>
      <c r="G9" s="18">
        <f>IF(AND(F71&lt;&gt;0,66344&lt;&gt;0),IF(100*66344/(F71-0)&lt;0.005,"*",100*66344/(F71-0)),0)</f>
        <v>1.1387572948849982</v>
      </c>
    </row>
    <row r="10" spans="1:7" x14ac:dyDescent="0.2">
      <c r="A10" s="11" t="s">
        <v>115</v>
      </c>
      <c r="B10" s="17">
        <v>507250</v>
      </c>
      <c r="C10" s="17">
        <v>0</v>
      </c>
      <c r="D10" s="17">
        <v>560532</v>
      </c>
      <c r="E10" s="17">
        <v>560532</v>
      </c>
      <c r="F10" s="17">
        <v>560532</v>
      </c>
      <c r="G10" s="18">
        <f>IF(AND(F71&lt;&gt;0,560532&lt;&gt;0),IF(100*560532/(F71-0)&lt;0.005,"*",100*560532/(F71-0)),0)</f>
        <v>9.6212152420185379</v>
      </c>
    </row>
    <row r="11" spans="1:7" x14ac:dyDescent="0.2">
      <c r="A11" s="11" t="s">
        <v>116</v>
      </c>
      <c r="B11" s="17">
        <v>61928</v>
      </c>
      <c r="C11" s="17">
        <v>0</v>
      </c>
      <c r="D11" s="17">
        <v>67936</v>
      </c>
      <c r="E11" s="17">
        <v>67936</v>
      </c>
      <c r="F11" s="17">
        <v>67936</v>
      </c>
      <c r="G11" s="18">
        <f>IF(AND(F71&lt;&gt;0,67936&lt;&gt;0),IF(100*67936/(F71-0)&lt;0.005,"*",100*67936/(F71-0)),0)</f>
        <v>1.1660830758668039</v>
      </c>
    </row>
    <row r="12" spans="1:7" x14ac:dyDescent="0.2">
      <c r="A12" s="11" t="s">
        <v>117</v>
      </c>
      <c r="B12" s="17">
        <v>33477</v>
      </c>
      <c r="C12" s="17">
        <v>0</v>
      </c>
      <c r="D12" s="17">
        <v>37609</v>
      </c>
      <c r="E12" s="17">
        <v>37609</v>
      </c>
      <c r="F12" s="17">
        <v>37609</v>
      </c>
      <c r="G12" s="18">
        <f>IF(AND(F71&lt;&gt;0,37609&lt;&gt;0),IF(100*37609/(F71-0)&lt;0.005,"*",100*37609/(F71-0)),0)</f>
        <v>0.64553724682457947</v>
      </c>
    </row>
    <row r="13" spans="1:7" x14ac:dyDescent="0.2">
      <c r="A13" s="11" t="s">
        <v>118</v>
      </c>
      <c r="B13" s="17">
        <v>14002</v>
      </c>
      <c r="C13" s="17">
        <v>0</v>
      </c>
      <c r="D13" s="17">
        <v>15613</v>
      </c>
      <c r="E13" s="17">
        <v>15613</v>
      </c>
      <c r="F13" s="17">
        <v>15613</v>
      </c>
      <c r="G13" s="18">
        <f>IF(AND(F71&lt;&gt;0,15613&lt;&gt;0),IF(100*15613/(F71-0)&lt;0.005,"*",100*15613/(F71-0)),0)</f>
        <v>0.26798832818400276</v>
      </c>
    </row>
    <row r="14" spans="1:7" x14ac:dyDescent="0.2">
      <c r="A14" s="11" t="s">
        <v>119</v>
      </c>
      <c r="B14" s="17">
        <v>8422</v>
      </c>
      <c r="C14" s="17">
        <v>0</v>
      </c>
      <c r="D14" s="17">
        <v>9601</v>
      </c>
      <c r="E14" s="17">
        <v>9601</v>
      </c>
      <c r="F14" s="17">
        <v>9601</v>
      </c>
      <c r="G14" s="18">
        <f>IF(AND(F71&lt;&gt;0,9601&lt;&gt;0),IF(100*9601/(F71-0)&lt;0.005,"*",100*9601/(F71-0)),0)</f>
        <v>0.16479574322004806</v>
      </c>
    </row>
    <row r="15" spans="1:7" x14ac:dyDescent="0.2">
      <c r="A15" s="11" t="s">
        <v>120</v>
      </c>
      <c r="B15" s="17">
        <v>315201</v>
      </c>
      <c r="C15" s="17">
        <v>0</v>
      </c>
      <c r="D15" s="17">
        <v>357788</v>
      </c>
      <c r="E15" s="17">
        <v>357788</v>
      </c>
      <c r="F15" s="17">
        <v>357788</v>
      </c>
      <c r="G15" s="18">
        <f>IF(AND(F71&lt;&gt;0,357788&lt;&gt;0),IF(100*357788/(F71-0)&lt;0.005,"*",100*357788/(F71-0)),0)</f>
        <v>6.1412289735667693</v>
      </c>
    </row>
    <row r="16" spans="1:7" x14ac:dyDescent="0.2">
      <c r="A16" s="11" t="s">
        <v>121</v>
      </c>
      <c r="B16" s="17">
        <v>210368</v>
      </c>
      <c r="C16" s="17">
        <v>0</v>
      </c>
      <c r="D16" s="17">
        <v>231276</v>
      </c>
      <c r="E16" s="17">
        <v>231276</v>
      </c>
      <c r="F16" s="17">
        <v>231276</v>
      </c>
      <c r="G16" s="18">
        <f>IF(AND(F71&lt;&gt;0,231276&lt;&gt;0),IF(100*231276/(F71-0)&lt;0.005,"*",100*231276/(F71-0)),0)</f>
        <v>3.9697219361483009</v>
      </c>
    </row>
    <row r="17" spans="1:7" x14ac:dyDescent="0.2">
      <c r="A17" s="11" t="s">
        <v>122</v>
      </c>
      <c r="B17" s="17">
        <v>17564</v>
      </c>
      <c r="C17" s="17">
        <v>0</v>
      </c>
      <c r="D17" s="17">
        <v>19185</v>
      </c>
      <c r="E17" s="17">
        <v>19185</v>
      </c>
      <c r="F17" s="17">
        <v>19185</v>
      </c>
      <c r="G17" s="18">
        <f>IF(AND(F71&lt;&gt;0,19185&lt;&gt;0),IF(100*19185/(F71-0)&lt;0.005,"*",100*19185/(F71-0)),0)</f>
        <v>0.32929969104016477</v>
      </c>
    </row>
    <row r="18" spans="1:7" x14ac:dyDescent="0.2">
      <c r="A18" s="11" t="s">
        <v>123</v>
      </c>
      <c r="B18" s="17">
        <v>30288</v>
      </c>
      <c r="C18" s="17">
        <v>0</v>
      </c>
      <c r="D18" s="17">
        <v>33078</v>
      </c>
      <c r="E18" s="17">
        <v>33078</v>
      </c>
      <c r="F18" s="17">
        <v>33078</v>
      </c>
      <c r="G18" s="18">
        <f>IF(AND(F71&lt;&gt;0,33078&lt;&gt;0),IF(100*33078/(F71-0)&lt;0.005,"*",100*33078/(F71-0)),0)</f>
        <v>0.56776519052523167</v>
      </c>
    </row>
    <row r="19" spans="1:7" x14ac:dyDescent="0.2">
      <c r="A19" s="11" t="s">
        <v>124</v>
      </c>
      <c r="B19" s="17">
        <v>172072</v>
      </c>
      <c r="C19" s="17">
        <v>0</v>
      </c>
      <c r="D19" s="17">
        <v>189483</v>
      </c>
      <c r="E19" s="17">
        <v>189483</v>
      </c>
      <c r="F19" s="17">
        <v>189483</v>
      </c>
      <c r="G19" s="18">
        <f>IF(AND(F71&lt;&gt;0,189483&lt;&gt;0),IF(100*189483/(F71-0)&lt;0.005,"*",100*189483/(F71-0)),0)</f>
        <v>3.2523686920700308</v>
      </c>
    </row>
    <row r="20" spans="1:7" x14ac:dyDescent="0.2">
      <c r="A20" s="11" t="s">
        <v>125</v>
      </c>
      <c r="B20" s="17">
        <v>113269</v>
      </c>
      <c r="C20" s="17">
        <v>0</v>
      </c>
      <c r="D20" s="17">
        <v>126122</v>
      </c>
      <c r="E20" s="17">
        <v>126122</v>
      </c>
      <c r="F20" s="17">
        <v>126122</v>
      </c>
      <c r="G20" s="18">
        <f>IF(AND(F71&lt;&gt;0,126122&lt;&gt;0),IF(100*126122/(F71-0)&lt;0.005,"*",100*126122/(F71-0)),0)</f>
        <v>2.164812907655338</v>
      </c>
    </row>
    <row r="21" spans="1:7" x14ac:dyDescent="0.2">
      <c r="A21" s="11" t="s">
        <v>126</v>
      </c>
      <c r="B21" s="17">
        <v>45690</v>
      </c>
      <c r="C21" s="17">
        <v>0</v>
      </c>
      <c r="D21" s="17">
        <v>51041</v>
      </c>
      <c r="E21" s="17">
        <v>51041</v>
      </c>
      <c r="F21" s="17">
        <v>51041</v>
      </c>
      <c r="G21" s="18">
        <f>IF(AND(F71&lt;&gt;0,51041&lt;&gt;0),IF(100*51041/(F71-0)&lt;0.005,"*",100*51041/(F71-0)),0)</f>
        <v>0.87608994164092002</v>
      </c>
    </row>
    <row r="22" spans="1:7" x14ac:dyDescent="0.2">
      <c r="A22" s="11" t="s">
        <v>127</v>
      </c>
      <c r="B22" s="17">
        <v>45698</v>
      </c>
      <c r="C22" s="17">
        <v>0</v>
      </c>
      <c r="D22" s="17">
        <v>49237</v>
      </c>
      <c r="E22" s="17">
        <v>49237</v>
      </c>
      <c r="F22" s="17">
        <v>49237</v>
      </c>
      <c r="G22" s="18">
        <f>IF(AND(F71&lt;&gt;0,49237&lt;&gt;0),IF(100*49237/(F71-0)&lt;0.005,"*",100*49237/(F71-0)),0)</f>
        <v>0.84512530037761757</v>
      </c>
    </row>
    <row r="23" spans="1:7" x14ac:dyDescent="0.2">
      <c r="A23" s="11" t="s">
        <v>128</v>
      </c>
      <c r="B23" s="17">
        <v>97190</v>
      </c>
      <c r="C23" s="17">
        <v>0</v>
      </c>
      <c r="D23" s="17">
        <v>108392</v>
      </c>
      <c r="E23" s="17">
        <v>108392</v>
      </c>
      <c r="F23" s="17">
        <v>108392</v>
      </c>
      <c r="G23" s="18">
        <f>IF(AND(F71&lt;&gt;0,108392&lt;&gt;0),IF(100*108392/(F71-0)&lt;0.005,"*",100*108392/(F71-0)),0)</f>
        <v>1.8604874699622382</v>
      </c>
    </row>
    <row r="24" spans="1:7" x14ac:dyDescent="0.2">
      <c r="A24" s="11" t="s">
        <v>129</v>
      </c>
      <c r="B24" s="17">
        <v>97535</v>
      </c>
      <c r="C24" s="17">
        <v>0</v>
      </c>
      <c r="D24" s="17">
        <v>108136</v>
      </c>
      <c r="E24" s="17">
        <v>108136</v>
      </c>
      <c r="F24" s="17">
        <v>108136</v>
      </c>
      <c r="G24" s="18">
        <f>IF(AND(F71&lt;&gt;0,108136&lt;&gt;0),IF(100*108136/(F71-0)&lt;0.005,"*",100*108136/(F71-0)),0)</f>
        <v>1.856093374527978</v>
      </c>
    </row>
    <row r="25" spans="1:7" x14ac:dyDescent="0.2">
      <c r="A25" s="11" t="s">
        <v>130</v>
      </c>
      <c r="B25" s="17">
        <v>15940</v>
      </c>
      <c r="C25" s="17">
        <v>0</v>
      </c>
      <c r="D25" s="17">
        <v>17527</v>
      </c>
      <c r="E25" s="17">
        <v>17527</v>
      </c>
      <c r="F25" s="17">
        <v>17527</v>
      </c>
      <c r="G25" s="18">
        <f>IF(AND(F71&lt;&gt;0,17527&lt;&gt;0),IF(100*17527/(F71-0)&lt;0.005,"*",100*17527/(F71-0)),0)</f>
        <v>0.30084105732921385</v>
      </c>
    </row>
    <row r="26" spans="1:7" x14ac:dyDescent="0.2">
      <c r="A26" s="11" t="s">
        <v>131</v>
      </c>
      <c r="B26" s="17">
        <v>66006</v>
      </c>
      <c r="C26" s="17">
        <v>0</v>
      </c>
      <c r="D26" s="17">
        <v>73319</v>
      </c>
      <c r="E26" s="17">
        <v>73319</v>
      </c>
      <c r="F26" s="17">
        <v>73319</v>
      </c>
      <c r="G26" s="18">
        <f>IF(AND(F71&lt;&gt;0,73319&lt;&gt;0),IF(100*73319/(F71-0)&lt;0.005,"*",100*73319/(F71-0)),0)</f>
        <v>1.2584792310332991</v>
      </c>
    </row>
    <row r="27" spans="1:7" x14ac:dyDescent="0.2">
      <c r="A27" s="11" t="s">
        <v>132</v>
      </c>
      <c r="B27" s="17">
        <v>65758</v>
      </c>
      <c r="C27" s="17">
        <v>0</v>
      </c>
      <c r="D27" s="17">
        <v>73122</v>
      </c>
      <c r="E27" s="17">
        <v>73122</v>
      </c>
      <c r="F27" s="17">
        <v>73122</v>
      </c>
      <c r="G27" s="18">
        <f>IF(AND(F71&lt;&gt;0,73122&lt;&gt;0),IF(100*73122/(F71-0)&lt;0.005,"*",100*73122/(F71-0)),0)</f>
        <v>1.2550978372811534</v>
      </c>
    </row>
    <row r="28" spans="1:7" x14ac:dyDescent="0.2">
      <c r="A28" s="11" t="s">
        <v>133</v>
      </c>
      <c r="B28" s="17">
        <v>143667</v>
      </c>
      <c r="C28" s="17">
        <v>0</v>
      </c>
      <c r="D28" s="17">
        <v>161447</v>
      </c>
      <c r="E28" s="17">
        <v>161447</v>
      </c>
      <c r="F28" s="17">
        <v>161447</v>
      </c>
      <c r="G28" s="18">
        <f>IF(AND(F71&lt;&gt;0,161447&lt;&gt;0),IF(100*161447/(F71-0)&lt;0.005,"*",100*161447/(F71-0)),0)</f>
        <v>2.7711465842773775</v>
      </c>
    </row>
    <row r="29" spans="1:7" x14ac:dyDescent="0.2">
      <c r="A29" s="11" t="s">
        <v>134</v>
      </c>
      <c r="B29" s="17">
        <v>69171</v>
      </c>
      <c r="C29" s="17">
        <v>0</v>
      </c>
      <c r="D29" s="17">
        <v>77038</v>
      </c>
      <c r="E29" s="17">
        <v>77038</v>
      </c>
      <c r="F29" s="17">
        <v>77038</v>
      </c>
      <c r="G29" s="18">
        <f>IF(AND(F71&lt;&gt;0,77038&lt;&gt;0),IF(100*77038/(F71-0)&lt;0.005,"*",100*77038/(F71-0)),0)</f>
        <v>1.3223137658771027</v>
      </c>
    </row>
    <row r="30" spans="1:7" x14ac:dyDescent="0.2">
      <c r="A30" s="11" t="s">
        <v>135</v>
      </c>
      <c r="B30" s="17">
        <v>69095</v>
      </c>
      <c r="C30" s="17">
        <v>0</v>
      </c>
      <c r="D30" s="17">
        <v>75414</v>
      </c>
      <c r="E30" s="17">
        <v>75414</v>
      </c>
      <c r="F30" s="17">
        <v>75414</v>
      </c>
      <c r="G30" s="18">
        <f>IF(AND(F71&lt;&gt;0,75414&lt;&gt;0),IF(100*75414/(F71-0)&lt;0.005,"*",100*75414/(F71-0)),0)</f>
        <v>1.2944387229660144</v>
      </c>
    </row>
    <row r="31" spans="1:7" x14ac:dyDescent="0.2">
      <c r="A31" s="11" t="s">
        <v>136</v>
      </c>
      <c r="B31" s="17">
        <v>96016</v>
      </c>
      <c r="C31" s="17">
        <v>0</v>
      </c>
      <c r="D31" s="17">
        <v>106474</v>
      </c>
      <c r="E31" s="17">
        <v>106474</v>
      </c>
      <c r="F31" s="17">
        <v>106474</v>
      </c>
      <c r="G31" s="18">
        <f>IF(AND(F71&lt;&gt;0,106474&lt;&gt;0),IF(100*106474/(F71-0)&lt;0.005,"*",100*106474/(F71-0)),0)</f>
        <v>1.8275660830758669</v>
      </c>
    </row>
    <row r="32" spans="1:7" x14ac:dyDescent="0.2">
      <c r="A32" s="11" t="s">
        <v>137</v>
      </c>
      <c r="B32" s="17">
        <v>14643</v>
      </c>
      <c r="C32" s="17">
        <v>0</v>
      </c>
      <c r="D32" s="17">
        <v>16183</v>
      </c>
      <c r="E32" s="17">
        <v>16183</v>
      </c>
      <c r="F32" s="17">
        <v>16183</v>
      </c>
      <c r="G32" s="18">
        <f>IF(AND(F71&lt;&gt;0,16183&lt;&gt;0),IF(100*16183/(F71-0)&lt;0.005,"*",100*16183/(F71-0)),0)</f>
        <v>0.27777205629934776</v>
      </c>
    </row>
    <row r="33" spans="1:7" x14ac:dyDescent="0.2">
      <c r="A33" s="11" t="s">
        <v>138</v>
      </c>
      <c r="B33" s="17">
        <v>28972</v>
      </c>
      <c r="C33" s="17">
        <v>0</v>
      </c>
      <c r="D33" s="17">
        <v>32125</v>
      </c>
      <c r="E33" s="17">
        <v>32125</v>
      </c>
      <c r="F33" s="17">
        <v>32125</v>
      </c>
      <c r="G33" s="18">
        <f>IF(AND(F71&lt;&gt;0,32125&lt;&gt;0),IF(100*32125/(F71-0)&lt;0.005,"*",100*32125/(F71-0)),0)</f>
        <v>0.55140748369378645</v>
      </c>
    </row>
    <row r="34" spans="1:7" x14ac:dyDescent="0.2">
      <c r="A34" s="11" t="s">
        <v>139</v>
      </c>
      <c r="B34" s="17">
        <v>46783</v>
      </c>
      <c r="C34" s="17">
        <v>0</v>
      </c>
      <c r="D34" s="17">
        <v>52685</v>
      </c>
      <c r="E34" s="17">
        <v>52685</v>
      </c>
      <c r="F34" s="17">
        <v>52685</v>
      </c>
      <c r="G34" s="18">
        <f>IF(AND(F71&lt;&gt;0,52685&lt;&gt;0),IF(100*52685/(F71-0)&lt;0.005,"*",100*52685/(F71-0)),0)</f>
        <v>0.90430827325780982</v>
      </c>
    </row>
    <row r="35" spans="1:7" x14ac:dyDescent="0.2">
      <c r="A35" s="11" t="s">
        <v>140</v>
      </c>
      <c r="B35" s="17">
        <v>10208</v>
      </c>
      <c r="C35" s="17">
        <v>0</v>
      </c>
      <c r="D35" s="17">
        <v>11200</v>
      </c>
      <c r="E35" s="17">
        <v>11200</v>
      </c>
      <c r="F35" s="17">
        <v>11200</v>
      </c>
      <c r="G35" s="18">
        <f>IF(AND(F71&lt;&gt;0,11200&lt;&gt;0),IF(100*11200/(F71-0)&lt;0.005,"*",100*11200/(F71-0)),0)</f>
        <v>0.1922416752488843</v>
      </c>
    </row>
    <row r="36" spans="1:7" x14ac:dyDescent="0.2">
      <c r="A36" s="11" t="s">
        <v>141</v>
      </c>
      <c r="B36" s="17">
        <v>91464</v>
      </c>
      <c r="C36" s="17">
        <v>0</v>
      </c>
      <c r="D36" s="17">
        <v>100898</v>
      </c>
      <c r="E36" s="17">
        <v>100898</v>
      </c>
      <c r="F36" s="17">
        <v>100898</v>
      </c>
      <c r="G36" s="18">
        <f>IF(AND(F71&lt;&gt;0,100898&lt;&gt;0),IF(100*100898/(F71-0)&lt;0.005,"*",100*100898/(F71-0)),0)</f>
        <v>1.7318571918983865</v>
      </c>
    </row>
    <row r="37" spans="1:7" x14ac:dyDescent="0.2">
      <c r="A37" s="11" t="s">
        <v>142</v>
      </c>
      <c r="B37" s="17">
        <v>43417</v>
      </c>
      <c r="C37" s="17">
        <v>0</v>
      </c>
      <c r="D37" s="17">
        <v>47111</v>
      </c>
      <c r="E37" s="17">
        <v>47111</v>
      </c>
      <c r="F37" s="17">
        <v>47111</v>
      </c>
      <c r="G37" s="18">
        <f>IF(AND(F71&lt;&gt;0,47111&lt;&gt;0),IF(100*47111/(F71-0)&lt;0.005,"*",100*47111/(F71-0)),0)</f>
        <v>0.80863371095090975</v>
      </c>
    </row>
    <row r="38" spans="1:7" x14ac:dyDescent="0.2">
      <c r="A38" s="11" t="s">
        <v>143</v>
      </c>
      <c r="B38" s="17">
        <v>226910</v>
      </c>
      <c r="C38" s="17">
        <v>0</v>
      </c>
      <c r="D38" s="17">
        <v>261832</v>
      </c>
      <c r="E38" s="17">
        <v>261832</v>
      </c>
      <c r="F38" s="17">
        <v>261832</v>
      </c>
      <c r="G38" s="18">
        <f>IF(AND(F71&lt;&gt;0,261832&lt;&gt;0),IF(100*261832/(F71-0)&lt;0.005,"*",100*261832/(F71-0)),0)</f>
        <v>4.4941984208719532</v>
      </c>
    </row>
    <row r="39" spans="1:7" x14ac:dyDescent="0.2">
      <c r="A39" s="11" t="s">
        <v>144</v>
      </c>
      <c r="B39" s="17">
        <v>170974</v>
      </c>
      <c r="C39" s="17">
        <v>0</v>
      </c>
      <c r="D39" s="17">
        <v>189028</v>
      </c>
      <c r="E39" s="17">
        <v>189028</v>
      </c>
      <c r="F39" s="17">
        <v>189028</v>
      </c>
      <c r="G39" s="18">
        <f>IF(AND(F71&lt;&gt;0,189028&lt;&gt;0),IF(100*189028/(F71-0)&lt;0.005,"*",100*189028/(F71-0)),0)</f>
        <v>3.2445588740130451</v>
      </c>
    </row>
    <row r="40" spans="1:7" x14ac:dyDescent="0.2">
      <c r="A40" s="11" t="s">
        <v>145</v>
      </c>
      <c r="B40" s="17">
        <v>8960</v>
      </c>
      <c r="C40" s="17">
        <v>0</v>
      </c>
      <c r="D40" s="17">
        <v>9661</v>
      </c>
      <c r="E40" s="17">
        <v>9661</v>
      </c>
      <c r="F40" s="17">
        <v>9661</v>
      </c>
      <c r="G40" s="18">
        <f>IF(AND(F71&lt;&gt;0,9661&lt;&gt;0),IF(100*9661/(F71-0)&lt;0.005,"*",100*9661/(F71-0)),0)</f>
        <v>0.1658256093374528</v>
      </c>
    </row>
    <row r="41" spans="1:7" x14ac:dyDescent="0.2">
      <c r="A41" s="11" t="s">
        <v>146</v>
      </c>
      <c r="B41" s="17">
        <v>169774</v>
      </c>
      <c r="C41" s="17">
        <v>0</v>
      </c>
      <c r="D41" s="17">
        <v>187915</v>
      </c>
      <c r="E41" s="17">
        <v>187915</v>
      </c>
      <c r="F41" s="17">
        <v>187915</v>
      </c>
      <c r="G41" s="18">
        <f>IF(AND(F71&lt;&gt;0,187915&lt;&gt;0),IF(100*187915/(F71-0)&lt;0.005,"*",100*187915/(F71-0)),0)</f>
        <v>3.2254548575351869</v>
      </c>
    </row>
    <row r="42" spans="1:7" x14ac:dyDescent="0.2">
      <c r="A42" s="11" t="s">
        <v>147</v>
      </c>
      <c r="B42" s="17">
        <v>74090</v>
      </c>
      <c r="C42" s="17">
        <v>0</v>
      </c>
      <c r="D42" s="17">
        <v>80014</v>
      </c>
      <c r="E42" s="17">
        <v>80014</v>
      </c>
      <c r="F42" s="17">
        <v>80014</v>
      </c>
      <c r="G42" s="18">
        <f>IF(AND(F71&lt;&gt;0,80014&lt;&gt;0),IF(100*80014/(F71-0)&lt;0.005,"*",100*80014/(F71-0)),0)</f>
        <v>1.3733951253003776</v>
      </c>
    </row>
    <row r="43" spans="1:7" x14ac:dyDescent="0.2">
      <c r="A43" s="11" t="s">
        <v>148</v>
      </c>
      <c r="B43" s="17">
        <v>56356</v>
      </c>
      <c r="C43" s="17">
        <v>0</v>
      </c>
      <c r="D43" s="17">
        <v>61756</v>
      </c>
      <c r="E43" s="17">
        <v>61756</v>
      </c>
      <c r="F43" s="17">
        <v>61756</v>
      </c>
      <c r="G43" s="18">
        <f>IF(AND(F71&lt;&gt;0,61756&lt;&gt;0),IF(100*61756/(F71-0)&lt;0.005,"*",100*61756/(F71-0)),0)</f>
        <v>1.060006865774116</v>
      </c>
    </row>
    <row r="44" spans="1:7" x14ac:dyDescent="0.2">
      <c r="A44" s="11" t="s">
        <v>149</v>
      </c>
      <c r="B44" s="17">
        <v>152413</v>
      </c>
      <c r="C44" s="17">
        <v>0</v>
      </c>
      <c r="D44" s="17">
        <v>170245</v>
      </c>
      <c r="E44" s="17">
        <v>170245</v>
      </c>
      <c r="F44" s="17">
        <v>170245</v>
      </c>
      <c r="G44" s="18">
        <f>IF(AND(F71&lt;&gt;0,170245&lt;&gt;0),IF(100*170245/(F71-0)&lt;0.005,"*",100*170245/(F71-0)),0)</f>
        <v>2.9221592859594918</v>
      </c>
    </row>
    <row r="45" spans="1:7" x14ac:dyDescent="0.2">
      <c r="A45" s="11" t="s">
        <v>150</v>
      </c>
      <c r="B45" s="17">
        <v>11898</v>
      </c>
      <c r="C45" s="17">
        <v>0</v>
      </c>
      <c r="D45" s="17">
        <v>13066</v>
      </c>
      <c r="E45" s="17">
        <v>13066</v>
      </c>
      <c r="F45" s="17">
        <v>13066</v>
      </c>
      <c r="G45" s="18">
        <f>IF(AND(F71&lt;&gt;0,13066&lt;&gt;0),IF(100*13066/(F71-0)&lt;0.005,"*",100*13066/(F71-0)),0)</f>
        <v>0.22427051150017163</v>
      </c>
    </row>
    <row r="46" spans="1:7" x14ac:dyDescent="0.2">
      <c r="A46" s="11" t="s">
        <v>151</v>
      </c>
      <c r="B46" s="17">
        <v>92032</v>
      </c>
      <c r="C46" s="17">
        <v>0</v>
      </c>
      <c r="D46" s="17">
        <v>101832</v>
      </c>
      <c r="E46" s="17">
        <v>101832</v>
      </c>
      <c r="F46" s="17">
        <v>101832</v>
      </c>
      <c r="G46" s="18">
        <f>IF(AND(F71&lt;&gt;0,101832&lt;&gt;0),IF(100*101832/(F71-0)&lt;0.005,"*",100*101832/(F71-0)),0)</f>
        <v>1.7478887744593203</v>
      </c>
    </row>
    <row r="47" spans="1:7" x14ac:dyDescent="0.2">
      <c r="A47" s="11" t="s">
        <v>152</v>
      </c>
      <c r="B47" s="17">
        <v>13062</v>
      </c>
      <c r="C47" s="17">
        <v>0</v>
      </c>
      <c r="D47" s="17">
        <v>14434</v>
      </c>
      <c r="E47" s="17">
        <v>14434</v>
      </c>
      <c r="F47" s="17">
        <v>14434</v>
      </c>
      <c r="G47" s="18">
        <f>IF(AND(F71&lt;&gt;0,14434&lt;&gt;0),IF(100*14434/(F71-0)&lt;0.005,"*",100*14434/(F71-0)),0)</f>
        <v>0.24775145897699966</v>
      </c>
    </row>
    <row r="48" spans="1:7" x14ac:dyDescent="0.2">
      <c r="A48" s="11" t="s">
        <v>153</v>
      </c>
      <c r="B48" s="17">
        <v>118368</v>
      </c>
      <c r="C48" s="17">
        <v>0</v>
      </c>
      <c r="D48" s="17">
        <v>131824</v>
      </c>
      <c r="E48" s="17">
        <v>131824</v>
      </c>
      <c r="F48" s="17">
        <v>131824</v>
      </c>
      <c r="G48" s="18">
        <f>IF(AND(F71&lt;&gt;0,131824&lt;&gt;0),IF(100*131824/(F71-0)&lt;0.005,"*",100*131824/(F71-0)),0)</f>
        <v>2.2626845176793684</v>
      </c>
    </row>
    <row r="49" spans="1:7" x14ac:dyDescent="0.2">
      <c r="A49" s="11" t="s">
        <v>154</v>
      </c>
      <c r="B49" s="17">
        <v>544601</v>
      </c>
      <c r="C49" s="17">
        <v>0</v>
      </c>
      <c r="D49" s="17">
        <v>594694</v>
      </c>
      <c r="E49" s="17">
        <v>594694</v>
      </c>
      <c r="F49" s="17">
        <v>594694</v>
      </c>
      <c r="G49" s="18">
        <f>IF(AND(F71&lt;&gt;0,594694&lt;&gt;0),IF(100*594694/(F71-0)&lt;0.005,"*",100*594694/(F71-0)),0)</f>
        <v>10.207586680398215</v>
      </c>
    </row>
    <row r="50" spans="1:7" x14ac:dyDescent="0.2">
      <c r="A50" s="11" t="s">
        <v>155</v>
      </c>
      <c r="B50" s="17">
        <v>58268</v>
      </c>
      <c r="C50" s="17">
        <v>0</v>
      </c>
      <c r="D50" s="17">
        <v>64668</v>
      </c>
      <c r="E50" s="17">
        <v>64668</v>
      </c>
      <c r="F50" s="17">
        <v>64668</v>
      </c>
      <c r="G50" s="18">
        <f>IF(AND(F71&lt;&gt;0,64668&lt;&gt;0),IF(100*64668/(F71-0)&lt;0.005,"*",100*64668/(F71-0)),0)</f>
        <v>1.109989701338826</v>
      </c>
    </row>
    <row r="51" spans="1:7" x14ac:dyDescent="0.2">
      <c r="A51" s="11" t="s">
        <v>156</v>
      </c>
      <c r="B51" s="17">
        <v>6442</v>
      </c>
      <c r="C51" s="17">
        <v>0</v>
      </c>
      <c r="D51" s="17">
        <v>7057</v>
      </c>
      <c r="E51" s="17">
        <v>7057</v>
      </c>
      <c r="F51" s="17">
        <v>7057</v>
      </c>
      <c r="G51" s="18">
        <f>IF(AND(F71&lt;&gt;0,7057&lt;&gt;0),IF(100*7057/(F71-0)&lt;0.005,"*",100*7057/(F71-0)),0)</f>
        <v>0.12112941984208719</v>
      </c>
    </row>
    <row r="52" spans="1:7" x14ac:dyDescent="0.2">
      <c r="A52" s="11" t="s">
        <v>157</v>
      </c>
      <c r="B52" s="17">
        <v>99946</v>
      </c>
      <c r="C52" s="17">
        <v>0</v>
      </c>
      <c r="D52" s="17">
        <v>113285</v>
      </c>
      <c r="E52" s="17">
        <v>113285</v>
      </c>
      <c r="F52" s="17">
        <v>113285</v>
      </c>
      <c r="G52" s="18">
        <f>IF(AND(F71&lt;&gt;0,113285&lt;&gt;0),IF(100*113285/(F71-0)&lt;0.005,"*",100*113285/(F71-0)),0)</f>
        <v>1.9444730518365945</v>
      </c>
    </row>
    <row r="53" spans="1:7" x14ac:dyDescent="0.2">
      <c r="A53" s="11" t="s">
        <v>158</v>
      </c>
      <c r="B53" s="17">
        <v>84929</v>
      </c>
      <c r="C53" s="17">
        <v>0</v>
      </c>
      <c r="D53" s="17">
        <v>93857</v>
      </c>
      <c r="E53" s="17">
        <v>93857</v>
      </c>
      <c r="F53" s="17">
        <v>93857</v>
      </c>
      <c r="G53" s="18">
        <f>IF(AND(F71&lt;&gt;0,93857&lt;&gt;0),IF(100*93857/(F71-0)&lt;0.005,"*",100*93857/(F71-0)),0)</f>
        <v>1.6110024030209407</v>
      </c>
    </row>
    <row r="54" spans="1:7" x14ac:dyDescent="0.2">
      <c r="A54" s="11" t="s">
        <v>159</v>
      </c>
      <c r="B54" s="17">
        <v>33073</v>
      </c>
      <c r="C54" s="17">
        <v>0</v>
      </c>
      <c r="D54" s="17">
        <v>37061</v>
      </c>
      <c r="E54" s="17">
        <v>37061</v>
      </c>
      <c r="F54" s="17">
        <v>37061</v>
      </c>
      <c r="G54" s="18">
        <f>IF(AND(F71&lt;&gt;0,37061&lt;&gt;0),IF(100*37061/(F71-0)&lt;0.005,"*",100*37061/(F71-0)),0)</f>
        <v>0.63613113628561624</v>
      </c>
    </row>
    <row r="55" spans="1:7" x14ac:dyDescent="0.2">
      <c r="A55" s="11" t="s">
        <v>160</v>
      </c>
      <c r="B55" s="17">
        <v>74398</v>
      </c>
      <c r="C55" s="17">
        <v>0</v>
      </c>
      <c r="D55" s="17">
        <v>82629</v>
      </c>
      <c r="E55" s="17">
        <v>82629</v>
      </c>
      <c r="F55" s="17">
        <v>82629</v>
      </c>
      <c r="G55" s="18">
        <f>IF(AND(F71&lt;&gt;0,82629&lt;&gt;0),IF(100*82629/(F71-0)&lt;0.005,"*",100*82629/(F71-0)),0)</f>
        <v>1.4182801235839342</v>
      </c>
    </row>
    <row r="56" spans="1:7" x14ac:dyDescent="0.2">
      <c r="A56" s="11" t="s">
        <v>161</v>
      </c>
      <c r="B56" s="17">
        <v>6259</v>
      </c>
      <c r="C56" s="17">
        <v>0</v>
      </c>
      <c r="D56" s="17">
        <v>6666</v>
      </c>
      <c r="E56" s="17">
        <v>6666</v>
      </c>
      <c r="F56" s="17">
        <v>6666</v>
      </c>
      <c r="G56" s="18">
        <f>IF(AND(F71&lt;&gt;0,6666&lt;&gt;0),IF(100*6666/(F71-0)&lt;0.005,"*",100*6666/(F71-0)),0)</f>
        <v>0.11441812564366632</v>
      </c>
    </row>
    <row r="57" spans="1:7" x14ac:dyDescent="0.2">
      <c r="A57" s="11" t="s">
        <v>162</v>
      </c>
      <c r="B57" s="17">
        <v>6789</v>
      </c>
      <c r="C57" s="17">
        <v>0</v>
      </c>
      <c r="D57" s="17">
        <v>7417</v>
      </c>
      <c r="E57" s="17">
        <v>7417</v>
      </c>
      <c r="F57" s="17">
        <v>7417</v>
      </c>
      <c r="G57" s="18">
        <f>IF(AND(F71&lt;&gt;0,7417&lt;&gt;0),IF(100*7417/(F71-0)&lt;0.005,"*",100*7417/(F71-0)),0)</f>
        <v>0.12730861654651562</v>
      </c>
    </row>
    <row r="58" spans="1:7" x14ac:dyDescent="0.2">
      <c r="A58" s="11" t="s">
        <v>163</v>
      </c>
      <c r="B58" s="17">
        <v>9783</v>
      </c>
      <c r="C58" s="17">
        <v>0</v>
      </c>
      <c r="D58" s="17">
        <v>10688</v>
      </c>
      <c r="E58" s="17">
        <v>10688</v>
      </c>
      <c r="F58" s="17">
        <v>10688</v>
      </c>
      <c r="G58" s="18">
        <f>IF(AND(F71&lt;&gt;0,10688&lt;&gt;0),IF(100*10688/(F71-0)&lt;0.005,"*",100*10688/(F71-0)),0)</f>
        <v>0.18345348438036388</v>
      </c>
    </row>
    <row r="59" spans="1:7" x14ac:dyDescent="0.2">
      <c r="A59" s="11" t="s">
        <v>164</v>
      </c>
      <c r="B59" s="17">
        <v>4673</v>
      </c>
      <c r="C59" s="17">
        <v>0</v>
      </c>
      <c r="D59" s="17">
        <v>5416</v>
      </c>
      <c r="E59" s="17">
        <v>5416</v>
      </c>
      <c r="F59" s="17">
        <v>5416</v>
      </c>
      <c r="G59" s="18">
        <f>IF(AND(F71&lt;&gt;0,5416&lt;&gt;0),IF(100*5416/(F71-0)&lt;0.005,"*",100*5416/(F71-0)),0)</f>
        <v>9.2962581531067623E-2</v>
      </c>
    </row>
    <row r="60" spans="1:7" x14ac:dyDescent="0.2">
      <c r="A60" s="11" t="s">
        <v>165</v>
      </c>
      <c r="B60" s="17">
        <v>48727</v>
      </c>
      <c r="C60" s="17">
        <v>0</v>
      </c>
      <c r="D60" s="17">
        <v>49537</v>
      </c>
      <c r="E60" s="17">
        <v>49537</v>
      </c>
      <c r="F60" s="17">
        <v>49537</v>
      </c>
      <c r="G60" s="18">
        <f>IF(AND(F71&lt;&gt;0,49537&lt;&gt;0),IF(100*49537/(F71-0)&lt;0.005,"*",100*49537/(F71-0)),0)</f>
        <v>0.85027463096464129</v>
      </c>
    </row>
    <row r="61" spans="1:7" x14ac:dyDescent="0.2">
      <c r="A61" s="11" t="s">
        <v>166</v>
      </c>
      <c r="B61" s="17">
        <v>0</v>
      </c>
      <c r="C61" s="17">
        <v>0</v>
      </c>
      <c r="D61" s="17">
        <v>0</v>
      </c>
      <c r="E61" s="17">
        <v>0</v>
      </c>
      <c r="F61" s="17">
        <v>0</v>
      </c>
      <c r="G61" s="18">
        <f>IF(AND(F71&lt;&gt;0,0&lt;&gt;0),IF(100*0/(F71-0)&lt;0.005,"*",100*0/(F71-0)),0)</f>
        <v>0</v>
      </c>
    </row>
    <row r="62" spans="1:7" x14ac:dyDescent="0.2">
      <c r="A62" s="11" t="s">
        <v>167</v>
      </c>
      <c r="B62" s="17">
        <v>5135</v>
      </c>
      <c r="C62" s="17">
        <v>0</v>
      </c>
      <c r="D62" s="17">
        <v>5610</v>
      </c>
      <c r="E62" s="17">
        <v>5610</v>
      </c>
      <c r="F62" s="17">
        <v>5610</v>
      </c>
      <c r="G62" s="18">
        <f>IF(AND(F71&lt;&gt;0,5610&lt;&gt;0),IF(100*5610/(F71-0)&lt;0.005,"*",100*5610/(F71-0)),0)</f>
        <v>9.6292481977342942E-2</v>
      </c>
    </row>
    <row r="63" spans="1:7" x14ac:dyDescent="0.2">
      <c r="A63" s="11" t="s">
        <v>168</v>
      </c>
      <c r="B63" s="17">
        <v>305974</v>
      </c>
      <c r="C63" s="17">
        <v>0</v>
      </c>
      <c r="D63" s="17">
        <v>334995</v>
      </c>
      <c r="E63" s="17">
        <v>334995</v>
      </c>
      <c r="F63" s="17">
        <v>334995</v>
      </c>
      <c r="G63" s="18">
        <f>IF(AND(F71&lt;&gt;0,334995&lt;&gt;0),IF(100*334995/(F71-0)&lt;0.005,"*",100*334995/(F71-0)),0)</f>
        <v>5.75</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IF(AND(F71&lt;&gt;0,0&lt;&gt;0),IF(100*0/(F71-0)&lt;0.005,"*",100*0/(F71-0)),0)</f>
        <v>0</v>
      </c>
    </row>
    <row r="66" spans="1:7" x14ac:dyDescent="0.2">
      <c r="A66" s="11" t="s">
        <v>260</v>
      </c>
      <c r="B66" s="17">
        <v>0</v>
      </c>
      <c r="C66" s="17">
        <v>0</v>
      </c>
      <c r="D66" s="17">
        <v>0</v>
      </c>
      <c r="E66" s="17">
        <v>0</v>
      </c>
      <c r="F66" s="17">
        <v>0</v>
      </c>
      <c r="G66" s="18">
        <f>IF(AND(F71&lt;&gt;0,0&lt;&gt;0),IF(100*0/(F71-0)&lt;0.005,"*",100*0/(F71-0)),0)</f>
        <v>0</v>
      </c>
    </row>
    <row r="67" spans="1:7" x14ac:dyDescent="0.2">
      <c r="A67" s="11" t="s">
        <v>261</v>
      </c>
      <c r="B67" s="17">
        <v>0</v>
      </c>
      <c r="C67" s="17">
        <v>0</v>
      </c>
      <c r="D67" s="17">
        <v>0</v>
      </c>
      <c r="E67" s="17">
        <v>0</v>
      </c>
      <c r="F67" s="17">
        <v>0</v>
      </c>
      <c r="G67" s="18">
        <f>IF(AND(F71&lt;&gt;0,0&lt;&gt;0),IF(100*0/(F71-0)&lt;0.005,"*",100*0/(F71-0)),0)</f>
        <v>0</v>
      </c>
    </row>
    <row r="68" spans="1:7" x14ac:dyDescent="0.2">
      <c r="A68" s="11" t="s">
        <v>262</v>
      </c>
      <c r="B68" s="17">
        <v>25899</v>
      </c>
      <c r="C68" s="17">
        <v>0</v>
      </c>
      <c r="D68" s="17">
        <v>29130</v>
      </c>
      <c r="E68" s="17">
        <v>29130</v>
      </c>
      <c r="F68" s="17">
        <v>29130</v>
      </c>
      <c r="G68" s="18">
        <f>IF(AND(F71&lt;&gt;0,29130&lt;&gt;0),IF(100*29130/(F71-0)&lt;0.005,"*",100*29130/(F71-0)),0)</f>
        <v>0.5</v>
      </c>
    </row>
    <row r="69" spans="1:7" x14ac:dyDescent="0.2">
      <c r="A69" s="11" t="s">
        <v>263</v>
      </c>
      <c r="B69" s="17">
        <v>1473</v>
      </c>
      <c r="C69" s="17">
        <v>0</v>
      </c>
      <c r="D69" s="17">
        <v>1500</v>
      </c>
      <c r="E69" s="17">
        <v>1500</v>
      </c>
      <c r="F69" s="17">
        <v>1500</v>
      </c>
      <c r="G69" s="18">
        <f>IF(AND(F71&lt;&gt;0,1500&lt;&gt;0),IF(100*1500/(F71-0)&lt;0.005,"*",100*1500/(F71-0)),0)</f>
        <v>2.5746652935118436E-2</v>
      </c>
    </row>
    <row r="70" spans="1:7" x14ac:dyDescent="0.2">
      <c r="A70" s="11" t="s">
        <v>184</v>
      </c>
      <c r="B70" s="17">
        <v>26377</v>
      </c>
      <c r="C70" s="17">
        <v>0</v>
      </c>
      <c r="D70" s="17">
        <v>29130</v>
      </c>
      <c r="E70" s="17">
        <v>29130</v>
      </c>
      <c r="F70" s="17">
        <v>29130</v>
      </c>
      <c r="G70" s="18">
        <f>IF(AND(F71&lt;&gt;0,29130&lt;&gt;0),IF(100*29130/(F71-0)&lt;0.005,"*",100*29130/(F71-0)),0)</f>
        <v>0.5</v>
      </c>
    </row>
    <row r="71" spans="1:7" ht="15" customHeight="1" x14ac:dyDescent="0.2">
      <c r="A71" s="19" t="s">
        <v>110</v>
      </c>
      <c r="B71" s="20">
        <f>94448+9433+128573+60313+507250+61928+33477+14002+8422+315201+210368+17564+30288+172072+113269+45690+45698+97190+97535+15940+66006+65758+143667+69171+69095+96016+14643+28972+46783+10208+91464+43417+226910+170974+8960+169774+74090+56356+152413+11898+92032+13062+118368+544601+58268+6442+99946+84929+33073+74398+6259+6789+9783+4673+48727+0+5135+305974+0+0+0+0+25899+1473+26377+0</f>
        <v>5261444</v>
      </c>
      <c r="C71" s="20">
        <f>0+0+0+0+0+0+0+0+0+0+0+0+0+0+0+0+0+0+0+0+0+0+0+0+0+0+0+0+0+0+0+0+0+0+0+0+0+0+0+0+0+0+0+0+0+0+0+0+0+0+0+0+0+0+0+0+0+0+0+0+0+0+0+0+0+0</f>
        <v>0</v>
      </c>
      <c r="D71" s="20">
        <f>103937+10383+140817+66344+560532+67936+37609+15613+9601+357788+231276+19185+33078+189483+126122+51041+49237+108392+108136+17527+73319+73122+161447+77038+75414+106474+16183+32125+52685+11200+100898+47111+261832+189028+9661+187915+80014+61756+170245+13066+101832+14434+131824+594694+64668+7057+113285+93857+37061+82629+6666+7417+10688+5416+49537+0+5610+334995+0+0+0+0+29130+1500+29130+0</f>
        <v>5826000</v>
      </c>
      <c r="E71" s="20">
        <f>SUM(C71:D71)</f>
        <v>5826000</v>
      </c>
      <c r="F71" s="20">
        <f>103937+10383+140817+66344+560532+67936+37609+15613+9601+357788+231276+19185+33078+189483+126122+51041+49237+108392+108136+17527+73319+73122+161447+77038+75414+106474+16183+32125+52685+11200+100898+47111+261832+189028+9661+187915+80014+61756+170245+13066+101832+14434+131824+594694+64668+7057+113285+93857+37061+82629+6666+7417+10688+5416+49537+0+5610+334995+0+0+0+0+29130+1500+29130+0</f>
        <v>5826000</v>
      </c>
      <c r="G71" s="21" t="s">
        <v>170</v>
      </c>
    </row>
    <row r="72" spans="1:7" ht="15" customHeight="1" x14ac:dyDescent="0.2">
      <c r="A72" s="74" t="s">
        <v>171</v>
      </c>
      <c r="B72" s="74"/>
      <c r="C72" s="74"/>
      <c r="D72" s="74"/>
      <c r="E72" s="74"/>
      <c r="F72" s="74"/>
      <c r="G72" s="74"/>
    </row>
    <row r="73" spans="1:7" ht="15" customHeight="1" x14ac:dyDescent="0.2">
      <c r="A73" s="67" t="s">
        <v>172</v>
      </c>
      <c r="B73" s="67"/>
      <c r="C73" s="67"/>
      <c r="D73" s="67"/>
      <c r="E73" s="67"/>
      <c r="F73" s="67"/>
      <c r="G73" s="67"/>
    </row>
  </sheetData>
  <mergeCells count="6">
    <mergeCell ref="A73:G73"/>
    <mergeCell ref="A4:A5"/>
    <mergeCell ref="B4:B5"/>
    <mergeCell ref="F4:F5"/>
    <mergeCell ref="G4:G5"/>
    <mergeCell ref="A72:G7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73"/>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271</v>
      </c>
    </row>
    <row r="2" spans="1:7" x14ac:dyDescent="0.2">
      <c r="A2" s="13" t="s">
        <v>272</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16442</v>
      </c>
      <c r="C6" s="17">
        <v>0</v>
      </c>
      <c r="D6" s="17">
        <v>16442</v>
      </c>
      <c r="E6" s="17">
        <v>16442</v>
      </c>
      <c r="F6" s="17">
        <v>16442</v>
      </c>
      <c r="G6" s="18">
        <f>IF(AND(F71&lt;&gt;0,16442&lt;&gt;0),IF(100*16442/(F71-0)&lt;0.005,"*",100*16442/(F71-0)),0)</f>
        <v>1.2906973549417726</v>
      </c>
    </row>
    <row r="7" spans="1:7" x14ac:dyDescent="0.2">
      <c r="A7" s="11" t="s">
        <v>112</v>
      </c>
      <c r="B7" s="17">
        <v>3545</v>
      </c>
      <c r="C7" s="17">
        <v>0</v>
      </c>
      <c r="D7" s="17">
        <v>3545</v>
      </c>
      <c r="E7" s="17">
        <v>3545</v>
      </c>
      <c r="F7" s="17">
        <v>3545</v>
      </c>
      <c r="G7" s="18">
        <f>IF(AND(F71&lt;&gt;0,3545&lt;&gt;0),IF(100*3545/(F71-0)&lt;0.005,"*",100*3545/(F71-0)),0)</f>
        <v>0.27828257652770855</v>
      </c>
    </row>
    <row r="8" spans="1:7" x14ac:dyDescent="0.2">
      <c r="A8" s="11" t="s">
        <v>113</v>
      </c>
      <c r="B8" s="17">
        <v>19827</v>
      </c>
      <c r="C8" s="17">
        <v>0</v>
      </c>
      <c r="D8" s="17">
        <v>19827</v>
      </c>
      <c r="E8" s="17">
        <v>19827</v>
      </c>
      <c r="F8" s="17">
        <v>19827</v>
      </c>
      <c r="G8" s="18">
        <f>IF(AND(F71&lt;&gt;0,19827&lt;&gt;0),IF(100*19827/(F71-0)&lt;0.005,"*",100*19827/(F71-0)),0)</f>
        <v>1.5564199280154802</v>
      </c>
    </row>
    <row r="9" spans="1:7" x14ac:dyDescent="0.2">
      <c r="A9" s="11" t="s">
        <v>114</v>
      </c>
      <c r="B9" s="17">
        <v>5300</v>
      </c>
      <c r="C9" s="17">
        <v>0</v>
      </c>
      <c r="D9" s="17">
        <v>5300</v>
      </c>
      <c r="E9" s="17">
        <v>5300</v>
      </c>
      <c r="F9" s="17">
        <v>5300</v>
      </c>
      <c r="G9" s="18">
        <f>IF(AND(F71&lt;&gt;0,5300&lt;&gt;0),IF(100*5300/(F71-0)&lt;0.005,"*",100*5300/(F71-0)),0)</f>
        <v>0.41605011441378148</v>
      </c>
    </row>
    <row r="10" spans="1:7" x14ac:dyDescent="0.2">
      <c r="A10" s="11" t="s">
        <v>115</v>
      </c>
      <c r="B10" s="17">
        <v>85593</v>
      </c>
      <c r="C10" s="17">
        <v>0</v>
      </c>
      <c r="D10" s="17">
        <v>85593</v>
      </c>
      <c r="E10" s="17">
        <v>85593</v>
      </c>
      <c r="F10" s="17">
        <v>85593</v>
      </c>
      <c r="G10" s="18">
        <f>IF(AND(F71&lt;&gt;0,85593&lt;&gt;0),IF(100*85593/(F71-0)&lt;0.005,"*",100*85593/(F71-0)),0)</f>
        <v>6.719052347739396</v>
      </c>
    </row>
    <row r="11" spans="1:7" x14ac:dyDescent="0.2">
      <c r="A11" s="11" t="s">
        <v>116</v>
      </c>
      <c r="B11" s="17">
        <v>10174</v>
      </c>
      <c r="C11" s="17">
        <v>0</v>
      </c>
      <c r="D11" s="17">
        <v>10174</v>
      </c>
      <c r="E11" s="17">
        <v>10174</v>
      </c>
      <c r="F11" s="17">
        <v>10174</v>
      </c>
      <c r="G11" s="18">
        <f>IF(AND(F71&lt;&gt;0,10174&lt;&gt;0),IF(100*10174/(F71-0)&lt;0.005,"*",100*10174/(F71-0)),0)</f>
        <v>0.79865921963128539</v>
      </c>
    </row>
    <row r="12" spans="1:7" x14ac:dyDescent="0.2">
      <c r="A12" s="11" t="s">
        <v>117</v>
      </c>
      <c r="B12" s="17">
        <v>18738</v>
      </c>
      <c r="C12" s="17">
        <v>0</v>
      </c>
      <c r="D12" s="17">
        <v>18738</v>
      </c>
      <c r="E12" s="17">
        <v>18738</v>
      </c>
      <c r="F12" s="17">
        <v>18738</v>
      </c>
      <c r="G12" s="18">
        <f>IF(AND(F71&lt;&gt;0,18738&lt;&gt;0),IF(100*18738/(F71-0)&lt;0.005,"*",100*18738/(F71-0)),0)</f>
        <v>1.4709334045066862</v>
      </c>
    </row>
    <row r="13" spans="1:7" x14ac:dyDescent="0.2">
      <c r="A13" s="11" t="s">
        <v>118</v>
      </c>
      <c r="B13" s="17">
        <v>5179</v>
      </c>
      <c r="C13" s="17">
        <v>0</v>
      </c>
      <c r="D13" s="17">
        <v>5179</v>
      </c>
      <c r="E13" s="17">
        <v>5179</v>
      </c>
      <c r="F13" s="17">
        <v>5179</v>
      </c>
      <c r="G13" s="18">
        <f>IF(AND(F71&lt;&gt;0,5179&lt;&gt;0),IF(100*5179/(F71-0)&lt;0.005,"*",100*5179/(F71-0)),0)</f>
        <v>0.40655161180169325</v>
      </c>
    </row>
    <row r="14" spans="1:7" x14ac:dyDescent="0.2">
      <c r="A14" s="11" t="s">
        <v>119</v>
      </c>
      <c r="B14" s="17">
        <v>4567</v>
      </c>
      <c r="C14" s="17">
        <v>0</v>
      </c>
      <c r="D14" s="17">
        <v>4567</v>
      </c>
      <c r="E14" s="17">
        <v>4567</v>
      </c>
      <c r="F14" s="17">
        <v>4567</v>
      </c>
      <c r="G14" s="18">
        <f>IF(AND(F71&lt;&gt;0,4567&lt;&gt;0),IF(100*4567/(F71-0)&lt;0.005,"*",100*4567/(F71-0)),0)</f>
        <v>0.35850959859013959</v>
      </c>
    </row>
    <row r="15" spans="1:7" x14ac:dyDescent="0.2">
      <c r="A15" s="11" t="s">
        <v>120</v>
      </c>
      <c r="B15" s="17">
        <v>43027</v>
      </c>
      <c r="C15" s="17">
        <v>0</v>
      </c>
      <c r="D15" s="17">
        <v>43026</v>
      </c>
      <c r="E15" s="17">
        <v>43026</v>
      </c>
      <c r="F15" s="17">
        <v>43026</v>
      </c>
      <c r="G15" s="18">
        <f>IF(AND(F71&lt;&gt;0,43026&lt;&gt;0),IF(100*43026/(F71-0)&lt;0.005,"*",100*43026/(F71-0)),0)</f>
        <v>3.3775419288240305</v>
      </c>
    </row>
    <row r="16" spans="1:7" x14ac:dyDescent="0.2">
      <c r="A16" s="11" t="s">
        <v>121</v>
      </c>
      <c r="B16" s="17">
        <v>36548</v>
      </c>
      <c r="C16" s="17">
        <v>0</v>
      </c>
      <c r="D16" s="17">
        <v>36548</v>
      </c>
      <c r="E16" s="17">
        <v>36548</v>
      </c>
      <c r="F16" s="17">
        <v>36548</v>
      </c>
      <c r="G16" s="18">
        <f>IF(AND(F71&lt;&gt;0,36548&lt;&gt;0),IF(100*36548/(F71-0)&lt;0.005,"*",100*36548/(F71-0)),0)</f>
        <v>2.869018788980167</v>
      </c>
    </row>
    <row r="17" spans="1:7" x14ac:dyDescent="0.2">
      <c r="A17" s="11" t="s">
        <v>122</v>
      </c>
      <c r="B17" s="17">
        <v>4972</v>
      </c>
      <c r="C17" s="17">
        <v>0</v>
      </c>
      <c r="D17" s="17">
        <v>4972</v>
      </c>
      <c r="E17" s="17">
        <v>4972</v>
      </c>
      <c r="F17" s="17">
        <v>4972</v>
      </c>
      <c r="G17" s="18">
        <f>IF(AND(F71&lt;&gt;0,4972&lt;&gt;0),IF(100*4972/(F71-0)&lt;0.005,"*",100*4972/(F71-0)),0)</f>
        <v>0.39030210733307952</v>
      </c>
    </row>
    <row r="18" spans="1:7" x14ac:dyDescent="0.2">
      <c r="A18" s="11" t="s">
        <v>123</v>
      </c>
      <c r="B18" s="17">
        <v>2867</v>
      </c>
      <c r="C18" s="17">
        <v>0</v>
      </c>
      <c r="D18" s="17">
        <v>2868</v>
      </c>
      <c r="E18" s="17">
        <v>2868</v>
      </c>
      <c r="F18" s="17">
        <v>2868</v>
      </c>
      <c r="G18" s="18">
        <f>IF(AND(F71&lt;&gt;0,2868&lt;&gt;0),IF(100*2868/(F71-0)&lt;0.005,"*",100*2868/(F71-0)),0)</f>
        <v>0.22513806191296704</v>
      </c>
    </row>
    <row r="19" spans="1:7" x14ac:dyDescent="0.2">
      <c r="A19" s="11" t="s">
        <v>124</v>
      </c>
      <c r="B19" s="17">
        <v>56874</v>
      </c>
      <c r="C19" s="17">
        <v>0</v>
      </c>
      <c r="D19" s="17">
        <v>56874</v>
      </c>
      <c r="E19" s="17">
        <v>56874</v>
      </c>
      <c r="F19" s="17">
        <v>56874</v>
      </c>
      <c r="G19" s="18">
        <f>IF(AND(F71&lt;&gt;0,56874&lt;&gt;0),IF(100*56874/(F71-0)&lt;0.005,"*",100*56874/(F71-0)),0)</f>
        <v>4.464610227767813</v>
      </c>
    </row>
    <row r="20" spans="1:7" x14ac:dyDescent="0.2">
      <c r="A20" s="11" t="s">
        <v>125</v>
      </c>
      <c r="B20" s="17">
        <v>26182</v>
      </c>
      <c r="C20" s="17">
        <v>0</v>
      </c>
      <c r="D20" s="17">
        <v>26182</v>
      </c>
      <c r="E20" s="17">
        <v>26182</v>
      </c>
      <c r="F20" s="17">
        <v>26182</v>
      </c>
      <c r="G20" s="18">
        <f>IF(AND(F71&lt;&gt;0,26182&lt;&gt;0),IF(100*26182/(F71-0)&lt;0.005,"*",100*26182/(F71-0)),0)</f>
        <v>2.0552875652040803</v>
      </c>
    </row>
    <row r="21" spans="1:7" x14ac:dyDescent="0.2">
      <c r="A21" s="11" t="s">
        <v>126</v>
      </c>
      <c r="B21" s="17">
        <v>8508</v>
      </c>
      <c r="C21" s="17">
        <v>0</v>
      </c>
      <c r="D21" s="17">
        <v>8508</v>
      </c>
      <c r="E21" s="17">
        <v>8508</v>
      </c>
      <c r="F21" s="17">
        <v>8508</v>
      </c>
      <c r="G21" s="18">
        <f>IF(AND(F71&lt;&gt;0,8508&lt;&gt;0),IF(100*8508/(F71-0)&lt;0.005,"*",100*8508/(F71-0)),0)</f>
        <v>0.66787818366650054</v>
      </c>
    </row>
    <row r="22" spans="1:7" x14ac:dyDescent="0.2">
      <c r="A22" s="11" t="s">
        <v>127</v>
      </c>
      <c r="B22" s="17">
        <v>9812</v>
      </c>
      <c r="C22" s="17">
        <v>0</v>
      </c>
      <c r="D22" s="17">
        <v>9812</v>
      </c>
      <c r="E22" s="17">
        <v>9812</v>
      </c>
      <c r="F22" s="17">
        <v>9812</v>
      </c>
      <c r="G22" s="18">
        <f>IF(AND(F71&lt;&gt;0,9812&lt;&gt;0),IF(100*9812/(F71-0)&lt;0.005,"*",100*9812/(F71-0)),0)</f>
        <v>0.77024221181660824</v>
      </c>
    </row>
    <row r="23" spans="1:7" x14ac:dyDescent="0.2">
      <c r="A23" s="11" t="s">
        <v>128</v>
      </c>
      <c r="B23" s="17">
        <v>16702</v>
      </c>
      <c r="C23" s="17">
        <v>0</v>
      </c>
      <c r="D23" s="17">
        <v>16702</v>
      </c>
      <c r="E23" s="17">
        <v>16702</v>
      </c>
      <c r="F23" s="17">
        <v>16702</v>
      </c>
      <c r="G23" s="18">
        <f>IF(AND(F71&lt;&gt;0,16702&lt;&gt;0),IF(100*16702/(F71-0)&lt;0.005,"*",100*16702/(F71-0)),0)</f>
        <v>1.3111073605545243</v>
      </c>
    </row>
    <row r="24" spans="1:7" x14ac:dyDescent="0.2">
      <c r="A24" s="11" t="s">
        <v>129</v>
      </c>
      <c r="B24" s="17">
        <v>13864</v>
      </c>
      <c r="C24" s="17">
        <v>0</v>
      </c>
      <c r="D24" s="17">
        <v>13865</v>
      </c>
      <c r="E24" s="17">
        <v>13865</v>
      </c>
      <c r="F24" s="17">
        <v>13865</v>
      </c>
      <c r="G24" s="18">
        <f>IF(AND(F71&lt;&gt;0,13865&lt;&gt;0),IF(100*13865/(F71-0)&lt;0.005,"*",100*13865/(F71-0)),0)</f>
        <v>1.0884027993107699</v>
      </c>
    </row>
    <row r="25" spans="1:7" x14ac:dyDescent="0.2">
      <c r="A25" s="11" t="s">
        <v>130</v>
      </c>
      <c r="B25" s="17">
        <v>3019</v>
      </c>
      <c r="C25" s="17">
        <v>0</v>
      </c>
      <c r="D25" s="17">
        <v>3019</v>
      </c>
      <c r="E25" s="17">
        <v>3019</v>
      </c>
      <c r="F25" s="17">
        <v>3019</v>
      </c>
      <c r="G25" s="18">
        <f>IF(AND(F71&lt;&gt;0,3019&lt;&gt;0),IF(100*3019/(F71-0)&lt;0.005,"*",100*3019/(F71-0)),0)</f>
        <v>0.23699156517268041</v>
      </c>
    </row>
    <row r="26" spans="1:7" x14ac:dyDescent="0.2">
      <c r="A26" s="11" t="s">
        <v>131</v>
      </c>
      <c r="B26" s="17">
        <v>23301</v>
      </c>
      <c r="C26" s="17">
        <v>0</v>
      </c>
      <c r="D26" s="17">
        <v>23301</v>
      </c>
      <c r="E26" s="17">
        <v>23301</v>
      </c>
      <c r="F26" s="17">
        <v>23301</v>
      </c>
      <c r="G26" s="18">
        <f>IF(AND(F71&lt;&gt;0,23301&lt;&gt;0),IF(100*23301/(F71-0)&lt;0.005,"*",100*23301/(F71-0)),0)</f>
        <v>1.8291290030104759</v>
      </c>
    </row>
    <row r="27" spans="1:7" x14ac:dyDescent="0.2">
      <c r="A27" s="11" t="s">
        <v>132</v>
      </c>
      <c r="B27" s="17">
        <v>44973</v>
      </c>
      <c r="C27" s="17">
        <v>0</v>
      </c>
      <c r="D27" s="17">
        <v>44973</v>
      </c>
      <c r="E27" s="17">
        <v>44973</v>
      </c>
      <c r="F27" s="17">
        <v>44973</v>
      </c>
      <c r="G27" s="18">
        <f>IF(AND(F71&lt;&gt;0,44973&lt;&gt;0),IF(100*44973/(F71-0)&lt;0.005,"*",100*44973/(F71-0)),0)</f>
        <v>3.5303814708549046</v>
      </c>
    </row>
    <row r="28" spans="1:7" x14ac:dyDescent="0.2">
      <c r="A28" s="11" t="s">
        <v>133</v>
      </c>
      <c r="B28" s="17">
        <v>32082</v>
      </c>
      <c r="C28" s="17">
        <v>0</v>
      </c>
      <c r="D28" s="17">
        <v>32082</v>
      </c>
      <c r="E28" s="17">
        <v>32082</v>
      </c>
      <c r="F28" s="17">
        <v>32082</v>
      </c>
      <c r="G28" s="18">
        <f>IF(AND(F71&lt;&gt;0,32082&lt;&gt;0),IF(100*32082/(F71-0)&lt;0.005,"*",100*32082/(F71-0)),0)</f>
        <v>2.5184376925703655</v>
      </c>
    </row>
    <row r="29" spans="1:7" x14ac:dyDescent="0.2">
      <c r="A29" s="11" t="s">
        <v>134</v>
      </c>
      <c r="B29" s="17">
        <v>23367</v>
      </c>
      <c r="C29" s="17">
        <v>0</v>
      </c>
      <c r="D29" s="17">
        <v>23368</v>
      </c>
      <c r="E29" s="17">
        <v>23368</v>
      </c>
      <c r="F29" s="17">
        <v>23368</v>
      </c>
      <c r="G29" s="18">
        <f>IF(AND(F71&lt;&gt;0,23368&lt;&gt;0),IF(100*23368/(F71-0)&lt;0.005,"*",100*23368/(F71-0)),0)</f>
        <v>1.8343885044568387</v>
      </c>
    </row>
    <row r="30" spans="1:7" x14ac:dyDescent="0.2">
      <c r="A30" s="11" t="s">
        <v>135</v>
      </c>
      <c r="B30" s="17">
        <v>6293</v>
      </c>
      <c r="C30" s="17">
        <v>0</v>
      </c>
      <c r="D30" s="17">
        <v>6293</v>
      </c>
      <c r="E30" s="17">
        <v>6293</v>
      </c>
      <c r="F30" s="17">
        <v>6293</v>
      </c>
      <c r="G30" s="18">
        <f>IF(AND(F71&lt;&gt;0,6293&lt;&gt;0),IF(100*6293/(F71-0)&lt;0.005,"*",100*6293/(F71-0)),0)</f>
        <v>0.49400063585017484</v>
      </c>
    </row>
    <row r="31" spans="1:7" x14ac:dyDescent="0.2">
      <c r="A31" s="11" t="s">
        <v>136</v>
      </c>
      <c r="B31" s="17">
        <v>24668</v>
      </c>
      <c r="C31" s="17">
        <v>0</v>
      </c>
      <c r="D31" s="17">
        <v>24669</v>
      </c>
      <c r="E31" s="17">
        <v>24669</v>
      </c>
      <c r="F31" s="17">
        <v>24669</v>
      </c>
      <c r="G31" s="18">
        <f>IF(AND(F71&lt;&gt;0,24669&lt;&gt;0),IF(100*24669/(F71-0)&lt;0.005,"*",100*24669/(F71-0)),0)</f>
        <v>1.9365170325421839</v>
      </c>
    </row>
    <row r="32" spans="1:7" x14ac:dyDescent="0.2">
      <c r="A32" s="11" t="s">
        <v>137</v>
      </c>
      <c r="B32" s="17">
        <v>3191</v>
      </c>
      <c r="C32" s="17">
        <v>0</v>
      </c>
      <c r="D32" s="17">
        <v>3191</v>
      </c>
      <c r="E32" s="17">
        <v>3191</v>
      </c>
      <c r="F32" s="17">
        <v>3191</v>
      </c>
      <c r="G32" s="18">
        <f>IF(AND(F71&lt;&gt;0,3191&lt;&gt;0),IF(100*3191/(F71-0)&lt;0.005,"*",100*3191/(F71-0)),0)</f>
        <v>0.25049356888573143</v>
      </c>
    </row>
    <row r="33" spans="1:7" x14ac:dyDescent="0.2">
      <c r="A33" s="11" t="s">
        <v>138</v>
      </c>
      <c r="B33" s="17">
        <v>10595</v>
      </c>
      <c r="C33" s="17">
        <v>0</v>
      </c>
      <c r="D33" s="17">
        <v>10595</v>
      </c>
      <c r="E33" s="17">
        <v>10595</v>
      </c>
      <c r="F33" s="17">
        <v>10595</v>
      </c>
      <c r="G33" s="18">
        <f>IF(AND(F71&lt;&gt;0,10595&lt;&gt;0),IF(100*10595/(F71-0)&lt;0.005,"*",100*10595/(F71-0)),0)</f>
        <v>0.83170772871962539</v>
      </c>
    </row>
    <row r="34" spans="1:7" x14ac:dyDescent="0.2">
      <c r="A34" s="11" t="s">
        <v>139</v>
      </c>
      <c r="B34" s="17">
        <v>2580</v>
      </c>
      <c r="C34" s="17">
        <v>0</v>
      </c>
      <c r="D34" s="17">
        <v>2580</v>
      </c>
      <c r="E34" s="17">
        <v>2580</v>
      </c>
      <c r="F34" s="17">
        <v>2580</v>
      </c>
      <c r="G34" s="18">
        <f>IF(AND(F71&lt;&gt;0,2580&lt;&gt;0),IF(100*2580/(F71-0)&lt;0.005,"*",100*2580/(F71-0)),0)</f>
        <v>0.20253005569576532</v>
      </c>
    </row>
    <row r="35" spans="1:7" x14ac:dyDescent="0.2">
      <c r="A35" s="11" t="s">
        <v>140</v>
      </c>
      <c r="B35" s="17">
        <v>4582</v>
      </c>
      <c r="C35" s="17">
        <v>0</v>
      </c>
      <c r="D35" s="17">
        <v>4582</v>
      </c>
      <c r="E35" s="17">
        <v>4582</v>
      </c>
      <c r="F35" s="17">
        <v>4582</v>
      </c>
      <c r="G35" s="18">
        <f>IF(AND(F71&lt;&gt;0,4582&lt;&gt;0),IF(100*4582/(F71-0)&lt;0.005,"*",100*4582/(F71-0)),0)</f>
        <v>0.35968709891395217</v>
      </c>
    </row>
    <row r="36" spans="1:7" x14ac:dyDescent="0.2">
      <c r="A36" s="11" t="s">
        <v>141</v>
      </c>
      <c r="B36" s="17">
        <v>26374</v>
      </c>
      <c r="C36" s="17">
        <v>0</v>
      </c>
      <c r="D36" s="17">
        <v>26374</v>
      </c>
      <c r="E36" s="17">
        <v>26374</v>
      </c>
      <c r="F36" s="17">
        <v>26374</v>
      </c>
      <c r="G36" s="18">
        <f>IF(AND(F71&lt;&gt;0,26374&lt;&gt;0),IF(100*26374/(F71-0)&lt;0.005,"*",100*26374/(F71-0)),0)</f>
        <v>2.0703595693488817</v>
      </c>
    </row>
    <row r="37" spans="1:7" x14ac:dyDescent="0.2">
      <c r="A37" s="11" t="s">
        <v>142</v>
      </c>
      <c r="B37" s="17">
        <v>8308</v>
      </c>
      <c r="C37" s="17">
        <v>0</v>
      </c>
      <c r="D37" s="17">
        <v>8307</v>
      </c>
      <c r="E37" s="17">
        <v>8307</v>
      </c>
      <c r="F37" s="17">
        <v>8307</v>
      </c>
      <c r="G37" s="18">
        <f>IF(AND(F71&lt;&gt;0,8307&lt;&gt;0),IF(100*8307/(F71-0)&lt;0.005,"*",100*8307/(F71-0)),0)</f>
        <v>0.65209967932741186</v>
      </c>
    </row>
    <row r="38" spans="1:7" x14ac:dyDescent="0.2">
      <c r="A38" s="11" t="s">
        <v>143</v>
      </c>
      <c r="B38" s="17">
        <v>101984</v>
      </c>
      <c r="C38" s="17">
        <v>0</v>
      </c>
      <c r="D38" s="17">
        <v>101984</v>
      </c>
      <c r="E38" s="17">
        <v>101984</v>
      </c>
      <c r="F38" s="17">
        <v>101984</v>
      </c>
      <c r="G38" s="18">
        <f>IF(AND(F71&lt;&gt;0,101984&lt;&gt;0),IF(100*101984/(F71-0)&lt;0.005,"*",100*101984/(F71-0)),0)</f>
        <v>8.0057462015802052</v>
      </c>
    </row>
    <row r="39" spans="1:7" x14ac:dyDescent="0.2">
      <c r="A39" s="11" t="s">
        <v>144</v>
      </c>
      <c r="B39" s="17">
        <v>69639</v>
      </c>
      <c r="C39" s="17">
        <v>0</v>
      </c>
      <c r="D39" s="17">
        <v>69639</v>
      </c>
      <c r="E39" s="17">
        <v>69639</v>
      </c>
      <c r="F39" s="17">
        <v>69639</v>
      </c>
      <c r="G39" s="18">
        <f>IF(AND(F71&lt;&gt;0,69639&lt;&gt;0),IF(100*69639/(F71-0)&lt;0.005,"*",100*69639/(F71-0)),0)</f>
        <v>5.466663003332326</v>
      </c>
    </row>
    <row r="40" spans="1:7" x14ac:dyDescent="0.2">
      <c r="A40" s="11" t="s">
        <v>145</v>
      </c>
      <c r="B40" s="17">
        <v>2506</v>
      </c>
      <c r="C40" s="17">
        <v>0</v>
      </c>
      <c r="D40" s="17">
        <v>2506</v>
      </c>
      <c r="E40" s="17">
        <v>2506</v>
      </c>
      <c r="F40" s="17">
        <v>2506</v>
      </c>
      <c r="G40" s="18">
        <f>IF(AND(F71&lt;&gt;0,2506&lt;&gt;0),IF(100*2506/(F71-0)&lt;0.005,"*",100*2506/(F71-0)),0)</f>
        <v>0.19672105409828988</v>
      </c>
    </row>
    <row r="41" spans="1:7" x14ac:dyDescent="0.2">
      <c r="A41" s="11" t="s">
        <v>146</v>
      </c>
      <c r="B41" s="17">
        <v>70125</v>
      </c>
      <c r="C41" s="17">
        <v>0</v>
      </c>
      <c r="D41" s="17">
        <v>70125</v>
      </c>
      <c r="E41" s="17">
        <v>70125</v>
      </c>
      <c r="F41" s="17">
        <v>70125</v>
      </c>
      <c r="G41" s="18">
        <f>IF(AND(F71&lt;&gt;0,70125&lt;&gt;0),IF(100*70125/(F71-0)&lt;0.005,"*",100*70125/(F71-0)),0)</f>
        <v>5.5048140138238537</v>
      </c>
    </row>
    <row r="42" spans="1:7" x14ac:dyDescent="0.2">
      <c r="A42" s="11" t="s">
        <v>147</v>
      </c>
      <c r="B42" s="17">
        <v>24910</v>
      </c>
      <c r="C42" s="17">
        <v>0</v>
      </c>
      <c r="D42" s="17">
        <v>24910</v>
      </c>
      <c r="E42" s="17">
        <v>24910</v>
      </c>
      <c r="F42" s="17">
        <v>24910</v>
      </c>
      <c r="G42" s="18">
        <f>IF(AND(F71&lt;&gt;0,24910&lt;&gt;0),IF(100*24910/(F71-0)&lt;0.005,"*",100*24910/(F71-0)),0)</f>
        <v>1.955435537744773</v>
      </c>
    </row>
    <row r="43" spans="1:7" x14ac:dyDescent="0.2">
      <c r="A43" s="11" t="s">
        <v>148</v>
      </c>
      <c r="B43" s="17">
        <v>19409</v>
      </c>
      <c r="C43" s="17">
        <v>0</v>
      </c>
      <c r="D43" s="17">
        <v>19409</v>
      </c>
      <c r="E43" s="17">
        <v>19409</v>
      </c>
      <c r="F43" s="17">
        <v>19409</v>
      </c>
      <c r="G43" s="18">
        <f>IF(AND(F71&lt;&gt;0,19409&lt;&gt;0),IF(100*19409/(F71-0)&lt;0.005,"*",100*19409/(F71-0)),0)</f>
        <v>1.5236069189919028</v>
      </c>
    </row>
    <row r="44" spans="1:7" x14ac:dyDescent="0.2">
      <c r="A44" s="11" t="s">
        <v>149</v>
      </c>
      <c r="B44" s="17">
        <v>55337</v>
      </c>
      <c r="C44" s="17">
        <v>0</v>
      </c>
      <c r="D44" s="17">
        <v>55337</v>
      </c>
      <c r="E44" s="17">
        <v>55337</v>
      </c>
      <c r="F44" s="17">
        <v>55337</v>
      </c>
      <c r="G44" s="18">
        <f>IF(AND(F71&lt;&gt;0,55337&lt;&gt;0),IF(100*55337/(F71-0)&lt;0.005,"*",100*55337/(F71-0)),0)</f>
        <v>4.3439556945878159</v>
      </c>
    </row>
    <row r="45" spans="1:7" x14ac:dyDescent="0.2">
      <c r="A45" s="11" t="s">
        <v>150</v>
      </c>
      <c r="B45" s="17">
        <v>6634</v>
      </c>
      <c r="C45" s="17">
        <v>0</v>
      </c>
      <c r="D45" s="17">
        <v>6634</v>
      </c>
      <c r="E45" s="17">
        <v>6634</v>
      </c>
      <c r="F45" s="17">
        <v>6634</v>
      </c>
      <c r="G45" s="18">
        <f>IF(AND(F71&lt;&gt;0,6634&lt;&gt;0),IF(100*6634/(F71-0)&lt;0.005,"*",100*6634/(F71-0)),0)</f>
        <v>0.52076914321151435</v>
      </c>
    </row>
    <row r="46" spans="1:7" x14ac:dyDescent="0.2">
      <c r="A46" s="11" t="s">
        <v>151</v>
      </c>
      <c r="B46" s="17">
        <v>9867</v>
      </c>
      <c r="C46" s="17">
        <v>0</v>
      </c>
      <c r="D46" s="17">
        <v>9867</v>
      </c>
      <c r="E46" s="17">
        <v>9867</v>
      </c>
      <c r="F46" s="17">
        <v>9867</v>
      </c>
      <c r="G46" s="18">
        <f>IF(AND(F71&lt;&gt;0,9867&lt;&gt;0),IF(100*9867/(F71-0)&lt;0.005,"*",100*9867/(F71-0)),0)</f>
        <v>0.77455971300392112</v>
      </c>
    </row>
    <row r="47" spans="1:7" x14ac:dyDescent="0.2">
      <c r="A47" s="11" t="s">
        <v>152</v>
      </c>
      <c r="B47" s="17">
        <v>1711</v>
      </c>
      <c r="C47" s="17">
        <v>0</v>
      </c>
      <c r="D47" s="17">
        <v>1711</v>
      </c>
      <c r="E47" s="17">
        <v>1711</v>
      </c>
      <c r="F47" s="17">
        <v>1711</v>
      </c>
      <c r="G47" s="18">
        <f>IF(AND(F71&lt;&gt;0,1711&lt;&gt;0),IF(100*1711/(F71-0)&lt;0.005,"*",100*1711/(F71-0)),0)</f>
        <v>0.13431353693622267</v>
      </c>
    </row>
    <row r="48" spans="1:7" x14ac:dyDescent="0.2">
      <c r="A48" s="11" t="s">
        <v>153</v>
      </c>
      <c r="B48" s="17">
        <v>37702</v>
      </c>
      <c r="C48" s="17">
        <v>0</v>
      </c>
      <c r="D48" s="17">
        <v>37702</v>
      </c>
      <c r="E48" s="17">
        <v>37702</v>
      </c>
      <c r="F48" s="17">
        <v>37702</v>
      </c>
      <c r="G48" s="18">
        <f>IF(AND(F71&lt;&gt;0,37702&lt;&gt;0),IF(100*37702/(F71-0)&lt;0.005,"*",100*37702/(F71-0)),0)</f>
        <v>2.9596078138921489</v>
      </c>
    </row>
    <row r="49" spans="1:7" x14ac:dyDescent="0.2">
      <c r="A49" s="11" t="s">
        <v>154</v>
      </c>
      <c r="B49" s="17">
        <v>59844</v>
      </c>
      <c r="C49" s="17">
        <v>0</v>
      </c>
      <c r="D49" s="17">
        <v>59844</v>
      </c>
      <c r="E49" s="17">
        <v>59844</v>
      </c>
      <c r="F49" s="17">
        <v>59844</v>
      </c>
      <c r="G49" s="18">
        <f>IF(AND(F71&lt;&gt;0,59844&lt;&gt;0),IF(100*59844/(F71-0)&lt;0.005,"*",100*59844/(F71-0)),0)</f>
        <v>4.6977552918827055</v>
      </c>
    </row>
    <row r="50" spans="1:7" x14ac:dyDescent="0.2">
      <c r="A50" s="11" t="s">
        <v>155</v>
      </c>
      <c r="B50" s="17">
        <v>12592</v>
      </c>
      <c r="C50" s="17">
        <v>0</v>
      </c>
      <c r="D50" s="17">
        <v>12591</v>
      </c>
      <c r="E50" s="17">
        <v>12591</v>
      </c>
      <c r="F50" s="17">
        <v>12591</v>
      </c>
      <c r="G50" s="18">
        <f>IF(AND(F71&lt;&gt;0,12591&lt;&gt;0),IF(100*12591/(F71-0)&lt;0.005,"*",100*12591/(F71-0)),0)</f>
        <v>0.98839377180828725</v>
      </c>
    </row>
    <row r="51" spans="1:7" x14ac:dyDescent="0.2">
      <c r="A51" s="11" t="s">
        <v>156</v>
      </c>
      <c r="B51" s="17">
        <v>3945</v>
      </c>
      <c r="C51" s="17">
        <v>0</v>
      </c>
      <c r="D51" s="17">
        <v>3945</v>
      </c>
      <c r="E51" s="17">
        <v>3945</v>
      </c>
      <c r="F51" s="17">
        <v>3945</v>
      </c>
      <c r="G51" s="18">
        <f>IF(AND(F71&lt;&gt;0,3945&lt;&gt;0),IF(100*3945/(F71-0)&lt;0.005,"*",100*3945/(F71-0)),0)</f>
        <v>0.30968258516271091</v>
      </c>
    </row>
    <row r="52" spans="1:7" x14ac:dyDescent="0.2">
      <c r="A52" s="11" t="s">
        <v>157</v>
      </c>
      <c r="B52" s="17">
        <v>21329</v>
      </c>
      <c r="C52" s="17">
        <v>0</v>
      </c>
      <c r="D52" s="17">
        <v>21329</v>
      </c>
      <c r="E52" s="17">
        <v>21329</v>
      </c>
      <c r="F52" s="17">
        <v>21329</v>
      </c>
      <c r="G52" s="18">
        <f>IF(AND(F71&lt;&gt;0,21329&lt;&gt;0),IF(100*21329/(F71-0)&lt;0.005,"*",100*21329/(F71-0)),0)</f>
        <v>1.674326960439914</v>
      </c>
    </row>
    <row r="53" spans="1:7" x14ac:dyDescent="0.2">
      <c r="A53" s="11" t="s">
        <v>158</v>
      </c>
      <c r="B53" s="17">
        <v>41883</v>
      </c>
      <c r="C53" s="17">
        <v>0</v>
      </c>
      <c r="D53" s="17">
        <v>41883</v>
      </c>
      <c r="E53" s="17">
        <v>41883</v>
      </c>
      <c r="F53" s="17">
        <v>41883</v>
      </c>
      <c r="G53" s="18">
        <f>IF(AND(F71&lt;&gt;0,41883&lt;&gt;0),IF(100*41883/(F71-0)&lt;0.005,"*",100*41883/(F71-0)),0)</f>
        <v>3.287816404149511</v>
      </c>
    </row>
    <row r="54" spans="1:7" x14ac:dyDescent="0.2">
      <c r="A54" s="11" t="s">
        <v>159</v>
      </c>
      <c r="B54" s="17">
        <v>8727</v>
      </c>
      <c r="C54" s="17">
        <v>0</v>
      </c>
      <c r="D54" s="17">
        <v>8727</v>
      </c>
      <c r="E54" s="17">
        <v>8727</v>
      </c>
      <c r="F54" s="17">
        <v>8727</v>
      </c>
      <c r="G54" s="18">
        <f>IF(AND(F71&lt;&gt;0,8727&lt;&gt;0),IF(100*8727/(F71-0)&lt;0.005,"*",100*8727/(F71-0)),0)</f>
        <v>0.68506968839416427</v>
      </c>
    </row>
    <row r="55" spans="1:7" x14ac:dyDescent="0.2">
      <c r="A55" s="11" t="s">
        <v>160</v>
      </c>
      <c r="B55" s="17">
        <v>24511</v>
      </c>
      <c r="C55" s="17">
        <v>0</v>
      </c>
      <c r="D55" s="17">
        <v>24511</v>
      </c>
      <c r="E55" s="17">
        <v>24511</v>
      </c>
      <c r="F55" s="17">
        <v>24511</v>
      </c>
      <c r="G55" s="18">
        <f>IF(AND(F71&lt;&gt;0,24511&lt;&gt;0),IF(100*24511/(F71-0)&lt;0.005,"*",100*24511/(F71-0)),0)</f>
        <v>1.9241140291313581</v>
      </c>
    </row>
    <row r="56" spans="1:7" x14ac:dyDescent="0.2">
      <c r="A56" s="11" t="s">
        <v>161</v>
      </c>
      <c r="B56" s="17">
        <v>2815</v>
      </c>
      <c r="C56" s="17">
        <v>0</v>
      </c>
      <c r="D56" s="17">
        <v>2815</v>
      </c>
      <c r="E56" s="17">
        <v>2815</v>
      </c>
      <c r="F56" s="17">
        <v>2815</v>
      </c>
      <c r="G56" s="18">
        <f>IF(AND(F71&lt;&gt;0,2815&lt;&gt;0),IF(100*2815/(F71-0)&lt;0.005,"*",100*2815/(F71-0)),0)</f>
        <v>0.22097756076882921</v>
      </c>
    </row>
    <row r="57" spans="1:7" x14ac:dyDescent="0.2">
      <c r="A57" s="11" t="s">
        <v>162</v>
      </c>
      <c r="B57" s="17">
        <v>0</v>
      </c>
      <c r="C57" s="17">
        <v>0</v>
      </c>
      <c r="D57" s="17">
        <v>0</v>
      </c>
      <c r="E57" s="17">
        <v>0</v>
      </c>
      <c r="F57" s="17">
        <v>0</v>
      </c>
      <c r="G57" s="18">
        <f>IF(AND(F71&lt;&gt;0,0&lt;&gt;0),IF(100*0/(F71-0)&lt;0.005,"*",100*0/(F71-0)),0)</f>
        <v>0</v>
      </c>
    </row>
    <row r="58" spans="1:7" x14ac:dyDescent="0.2">
      <c r="A58" s="11" t="s">
        <v>163</v>
      </c>
      <c r="B58" s="17">
        <v>0</v>
      </c>
      <c r="C58" s="17">
        <v>0</v>
      </c>
      <c r="D58" s="17">
        <v>0</v>
      </c>
      <c r="E58" s="17">
        <v>0</v>
      </c>
      <c r="F58" s="17">
        <v>0</v>
      </c>
      <c r="G58" s="18">
        <f>IF(AND(F71&lt;&gt;0,0&lt;&gt;0),IF(100*0/(F71-0)&lt;0.005,"*",100*0/(F71-0)),0)</f>
        <v>0</v>
      </c>
    </row>
    <row r="59" spans="1:7" x14ac:dyDescent="0.2">
      <c r="A59" s="11" t="s">
        <v>164</v>
      </c>
      <c r="B59" s="17">
        <v>0</v>
      </c>
      <c r="C59" s="17">
        <v>0</v>
      </c>
      <c r="D59" s="17">
        <v>0</v>
      </c>
      <c r="E59" s="17">
        <v>0</v>
      </c>
      <c r="F59" s="17">
        <v>0</v>
      </c>
      <c r="G59" s="18">
        <f>IF(AND(F71&lt;&gt;0,0&lt;&gt;0),IF(100*0/(F71-0)&lt;0.005,"*",100*0/(F71-0)),0)</f>
        <v>0</v>
      </c>
    </row>
    <row r="60" spans="1:7" x14ac:dyDescent="0.2">
      <c r="A60" s="11" t="s">
        <v>165</v>
      </c>
      <c r="B60" s="17">
        <v>0</v>
      </c>
      <c r="C60" s="17">
        <v>0</v>
      </c>
      <c r="D60" s="17">
        <v>0</v>
      </c>
      <c r="E60" s="17">
        <v>0</v>
      </c>
      <c r="F60" s="17">
        <v>0</v>
      </c>
      <c r="G60" s="18">
        <f>IF(AND(F71&lt;&gt;0,0&lt;&gt;0),IF(100*0/(F71-0)&lt;0.005,"*",100*0/(F71-0)),0)</f>
        <v>0</v>
      </c>
    </row>
    <row r="61" spans="1:7" x14ac:dyDescent="0.2">
      <c r="A61" s="11" t="s">
        <v>166</v>
      </c>
      <c r="B61" s="17">
        <v>0</v>
      </c>
      <c r="C61" s="17">
        <v>0</v>
      </c>
      <c r="D61" s="17">
        <v>0</v>
      </c>
      <c r="E61" s="17">
        <v>0</v>
      </c>
      <c r="F61" s="17">
        <v>0</v>
      </c>
      <c r="G61" s="18">
        <f>IF(AND(F71&lt;&gt;0,0&lt;&gt;0),IF(100*0/(F71-0)&lt;0.005,"*",100*0/(F71-0)),0)</f>
        <v>0</v>
      </c>
    </row>
    <row r="62" spans="1:7" x14ac:dyDescent="0.2">
      <c r="A62" s="11" t="s">
        <v>167</v>
      </c>
      <c r="B62" s="17">
        <v>0</v>
      </c>
      <c r="C62" s="17">
        <v>0</v>
      </c>
      <c r="D62" s="17">
        <v>0</v>
      </c>
      <c r="E62" s="17">
        <v>0</v>
      </c>
      <c r="F62" s="17">
        <v>0</v>
      </c>
      <c r="G62" s="18">
        <f>IF(AND(F71&lt;&gt;0,0&lt;&gt;0),IF(100*0/(F71-0)&lt;0.005,"*",100*0/(F71-0)),0)</f>
        <v>0</v>
      </c>
    </row>
    <row r="63" spans="1:7" x14ac:dyDescent="0.2">
      <c r="A63" s="11" t="s">
        <v>168</v>
      </c>
      <c r="B63" s="17">
        <v>58340</v>
      </c>
      <c r="C63" s="17">
        <v>0</v>
      </c>
      <c r="D63" s="17">
        <v>58340</v>
      </c>
      <c r="E63" s="17">
        <v>58340</v>
      </c>
      <c r="F63" s="17">
        <v>64240</v>
      </c>
      <c r="G63" s="18">
        <f>IF(AND(F71&lt;&gt;0,64240&lt;&gt;0),IF(100*64240/(F71-0)&lt;0.005,"*",100*64240/(F71-0)),0)</f>
        <v>5.0428413867813813</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IF(AND(F71&lt;&gt;0,0&lt;&gt;0),IF(100*0/(F71-0)&lt;0.005,"*",100*0/(F71-0)),0)</f>
        <v>0</v>
      </c>
    </row>
    <row r="66" spans="1:7" x14ac:dyDescent="0.2">
      <c r="A66" s="11" t="s">
        <v>260</v>
      </c>
      <c r="B66" s="17">
        <v>0</v>
      </c>
      <c r="C66" s="17">
        <v>0</v>
      </c>
      <c r="D66" s="17">
        <v>0</v>
      </c>
      <c r="E66" s="17">
        <v>0</v>
      </c>
      <c r="F66" s="17">
        <v>0</v>
      </c>
      <c r="G66" s="18">
        <f>IF(AND(F71&lt;&gt;0,0&lt;&gt;0),IF(100*0/(F71-0)&lt;0.005,"*",100*0/(F71-0)),0)</f>
        <v>0</v>
      </c>
    </row>
    <row r="67" spans="1:7" x14ac:dyDescent="0.2">
      <c r="A67" s="11" t="s">
        <v>261</v>
      </c>
      <c r="B67" s="17">
        <v>0</v>
      </c>
      <c r="C67" s="17">
        <v>0</v>
      </c>
      <c r="D67" s="17">
        <v>0</v>
      </c>
      <c r="E67" s="17">
        <v>0</v>
      </c>
      <c r="F67" s="17">
        <v>0</v>
      </c>
      <c r="G67" s="18">
        <f>IF(AND(F71&lt;&gt;0,0&lt;&gt;0),IF(100*0/(F71-0)&lt;0.005,"*",100*0/(F71-0)),0)</f>
        <v>0</v>
      </c>
    </row>
    <row r="68" spans="1:7" x14ac:dyDescent="0.2">
      <c r="A68" s="11" t="s">
        <v>262</v>
      </c>
      <c r="B68" s="17">
        <v>14567</v>
      </c>
      <c r="C68" s="17">
        <v>0</v>
      </c>
      <c r="D68" s="17">
        <v>14585</v>
      </c>
      <c r="E68" s="17">
        <v>14585</v>
      </c>
      <c r="F68" s="17">
        <v>16060</v>
      </c>
      <c r="G68" s="18">
        <f>IF(AND(F71&lt;&gt;0,16060&lt;&gt;0),IF(100*16060/(F71-0)&lt;0.005,"*",100*16060/(F71-0)),0)</f>
        <v>1.2607103466953453</v>
      </c>
    </row>
    <row r="69" spans="1:7" x14ac:dyDescent="0.2">
      <c r="A69" s="11" t="s">
        <v>263</v>
      </c>
      <c r="B69" s="17">
        <v>0</v>
      </c>
      <c r="C69" s="17">
        <v>0</v>
      </c>
      <c r="D69" s="17">
        <v>0</v>
      </c>
      <c r="E69" s="17">
        <v>0</v>
      </c>
      <c r="F69" s="17">
        <v>0</v>
      </c>
      <c r="G69" s="18">
        <f>IF(AND(F71&lt;&gt;0,0&lt;&gt;0),IF(100*0/(F71-0)&lt;0.005,"*",100*0/(F71-0)),0)</f>
        <v>0</v>
      </c>
    </row>
    <row r="70" spans="1:7" x14ac:dyDescent="0.2">
      <c r="A70" s="11" t="s">
        <v>184</v>
      </c>
      <c r="B70" s="17">
        <v>14575</v>
      </c>
      <c r="C70" s="17">
        <v>0</v>
      </c>
      <c r="D70" s="17">
        <v>14585</v>
      </c>
      <c r="E70" s="17">
        <v>14585</v>
      </c>
      <c r="F70" s="17">
        <v>16060</v>
      </c>
      <c r="G70" s="18">
        <f>IF(AND(F71&lt;&gt;0,16060&lt;&gt;0),IF(100*16060/(F71-0)&lt;0.005,"*",100*16060/(F71-0)),0)</f>
        <v>1.2607103466953453</v>
      </c>
    </row>
    <row r="71" spans="1:7" ht="15" customHeight="1" x14ac:dyDescent="0.2">
      <c r="A71" s="19" t="s">
        <v>110</v>
      </c>
      <c r="B71" s="20">
        <f>16442+3545+19827+5300+85593+10174+18738+5179+4567+43027+36548+4972+2867+56874+26182+8508+9812+16702+13864+3019+23301+44973+32082+23367+6293+24668+3191+10595+2580+4582+26374+8308+101984+69639+2506+70125+24910+19409+55337+6634+9867+1711+37702+59844+12592+3945+21329+41883+8727+24511+2815+0+0+0+0+0+0+58340+0+0+0+0+14567+0+14575+0</f>
        <v>1265006</v>
      </c>
      <c r="C71" s="20">
        <f>0+0+0+0+0+0+0+0+0+0+0+0+0+0+0+0+0+0+0+0+0+0+0+0+0+0+0+0+0+0+0+0+0+0+0+0+0+0+0+0+0+0+0+0+0+0+0+0+0+0+0+0+0+0+0+0+0+0+0+0+0+0+0+0+0+0</f>
        <v>0</v>
      </c>
      <c r="D71" s="20">
        <f>16442+3545+19827+5300+85593+10174+18738+5179+4567+43026+36548+4972+2868+56874+26182+8508+9812+16702+13865+3019+23301+44973+32082+23368+6293+24669+3191+10595+2580+4582+26374+8307+101984+69639+2506+70125+24910+19409+55337+6634+9867+1711+37702+59844+12591+3945+21329+41883+8727+24511+2815+0+0+0+0+0+0+58340+0+0+0+0+14585+0+14585+0</f>
        <v>1265035</v>
      </c>
      <c r="E71" s="20">
        <f>SUM(C71:D71)</f>
        <v>1265035</v>
      </c>
      <c r="F71" s="20">
        <f>16442+3545+19827+5300+85593+10174+18738+5179+4567+43026+36548+4972+2868+56874+26182+8508+9812+16702+13865+3019+23301+44973+32082+23368+6293+24669+3191+10595+2580+4582+26374+8307+101984+69639+2506+70125+24910+19409+55337+6634+9867+1711+37702+59844+12591+3945+21329+41883+8727+24511+2815+0+0+0+0+0+0+64240+0+0+0+0+16060+0+16060+0</f>
        <v>1273885</v>
      </c>
      <c r="G71" s="21" t="s">
        <v>170</v>
      </c>
    </row>
    <row r="72" spans="1:7" ht="15" customHeight="1" x14ac:dyDescent="0.2">
      <c r="A72" s="74" t="s">
        <v>171</v>
      </c>
      <c r="B72" s="74"/>
      <c r="C72" s="74"/>
      <c r="D72" s="74"/>
      <c r="E72" s="74"/>
      <c r="F72" s="74"/>
      <c r="G72" s="74"/>
    </row>
    <row r="73" spans="1:7" ht="15" customHeight="1" x14ac:dyDescent="0.2">
      <c r="A73" s="67" t="s">
        <v>172</v>
      </c>
      <c r="B73" s="67"/>
      <c r="C73" s="67"/>
      <c r="D73" s="67"/>
      <c r="E73" s="67"/>
      <c r="F73" s="67"/>
      <c r="G73" s="67"/>
    </row>
  </sheetData>
  <mergeCells count="6">
    <mergeCell ref="A73:G73"/>
    <mergeCell ref="A4:A5"/>
    <mergeCell ref="B4:B5"/>
    <mergeCell ref="F4:F5"/>
    <mergeCell ref="G4:G5"/>
    <mergeCell ref="A72:G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workbookViewId="0">
      <pane ySplit="3" topLeftCell="A4" activePane="bottomLeft" state="frozen"/>
      <selection activeCell="A62" sqref="A62"/>
      <selection pane="bottomLeft" activeCell="A4" sqref="A4"/>
    </sheetView>
  </sheetViews>
  <sheetFormatPr defaultRowHeight="12.75" x14ac:dyDescent="0.2"/>
  <cols>
    <col min="1" max="1" width="15.7109375" style="1" customWidth="1"/>
    <col min="2" max="2" width="41.7109375" style="2" customWidth="1"/>
    <col min="3" max="3" width="39.42578125" style="2" customWidth="1"/>
    <col min="4" max="4" width="15.42578125" style="3" customWidth="1"/>
  </cols>
  <sheetData>
    <row r="1" spans="1:4" ht="20.25" customHeight="1" x14ac:dyDescent="0.3">
      <c r="A1" s="4" t="s">
        <v>0</v>
      </c>
      <c r="B1" s="5"/>
      <c r="C1" s="5"/>
      <c r="D1" s="6"/>
    </row>
    <row r="2" spans="1:4" ht="18" customHeight="1" x14ac:dyDescent="0.25">
      <c r="A2" s="7" t="s">
        <v>1</v>
      </c>
      <c r="B2" s="5"/>
      <c r="C2" s="5"/>
      <c r="D2" s="6"/>
    </row>
    <row r="3" spans="1:4" x14ac:dyDescent="0.2">
      <c r="A3" s="8" t="s">
        <v>2</v>
      </c>
      <c r="B3" s="8" t="s">
        <v>3</v>
      </c>
      <c r="C3" s="8" t="s">
        <v>4</v>
      </c>
      <c r="D3" s="9" t="s">
        <v>5</v>
      </c>
    </row>
    <row r="4" spans="1:4" x14ac:dyDescent="0.2">
      <c r="A4" s="8"/>
      <c r="B4" s="8"/>
      <c r="C4" s="8"/>
      <c r="D4" s="9"/>
    </row>
    <row r="5" spans="1:4" x14ac:dyDescent="0.2">
      <c r="A5" s="1" t="s">
        <v>480</v>
      </c>
      <c r="B5" s="2" t="s">
        <v>481</v>
      </c>
    </row>
    <row r="6" spans="1:4" x14ac:dyDescent="0.2">
      <c r="A6" s="1" t="s">
        <v>482</v>
      </c>
      <c r="B6" s="2" t="s">
        <v>483</v>
      </c>
    </row>
    <row r="8" spans="1:4" ht="25.5" x14ac:dyDescent="0.2">
      <c r="A8" s="1" t="s">
        <v>6</v>
      </c>
      <c r="B8" s="10" t="s">
        <v>7</v>
      </c>
      <c r="C8" s="11" t="s">
        <v>8</v>
      </c>
      <c r="D8" s="3">
        <v>10.553000000000001</v>
      </c>
    </row>
    <row r="9" spans="1:4" ht="25.5" x14ac:dyDescent="0.2">
      <c r="A9" s="1" t="s">
        <v>9</v>
      </c>
      <c r="B9" s="10" t="s">
        <v>7</v>
      </c>
      <c r="C9" s="11" t="s">
        <v>10</v>
      </c>
      <c r="D9" s="3">
        <v>10.555</v>
      </c>
    </row>
    <row r="10" spans="1:4" ht="25.5" x14ac:dyDescent="0.2">
      <c r="A10" s="1" t="s">
        <v>11</v>
      </c>
      <c r="B10" s="10" t="s">
        <v>7</v>
      </c>
      <c r="C10" s="11" t="s">
        <v>12</v>
      </c>
      <c r="D10" s="3">
        <v>10.557</v>
      </c>
    </row>
    <row r="11" spans="1:4" ht="25.5" x14ac:dyDescent="0.2">
      <c r="A11" s="1" t="s">
        <v>13</v>
      </c>
      <c r="B11" s="10" t="s">
        <v>7</v>
      </c>
      <c r="C11" s="11" t="s">
        <v>14</v>
      </c>
      <c r="D11" s="3">
        <v>10.558</v>
      </c>
    </row>
    <row r="12" spans="1:4" ht="38.25" x14ac:dyDescent="0.2">
      <c r="A12" s="1" t="s">
        <v>15</v>
      </c>
      <c r="B12" s="10" t="s">
        <v>7</v>
      </c>
      <c r="C12" s="11" t="s">
        <v>16</v>
      </c>
      <c r="D12" s="3">
        <v>10.561</v>
      </c>
    </row>
    <row r="13" spans="1:4" ht="25.5" x14ac:dyDescent="0.2">
      <c r="A13" s="1" t="s">
        <v>17</v>
      </c>
      <c r="B13" s="10" t="s">
        <v>18</v>
      </c>
      <c r="C13" s="11" t="s">
        <v>19</v>
      </c>
      <c r="D13" s="3">
        <v>84.126000000000005</v>
      </c>
    </row>
    <row r="14" spans="1:4" ht="25.5" x14ac:dyDescent="0.2">
      <c r="A14" s="1" t="s">
        <v>20</v>
      </c>
      <c r="B14" s="10" t="s">
        <v>18</v>
      </c>
      <c r="C14" s="11" t="s">
        <v>21</v>
      </c>
      <c r="D14" s="3">
        <v>84.027000000000001</v>
      </c>
    </row>
    <row r="15" spans="1:4" ht="25.5" x14ac:dyDescent="0.2">
      <c r="A15" s="1" t="s">
        <v>22</v>
      </c>
      <c r="B15" s="10" t="s">
        <v>23</v>
      </c>
      <c r="C15" s="11" t="s">
        <v>24</v>
      </c>
      <c r="D15" s="3">
        <v>84.01</v>
      </c>
    </row>
    <row r="16" spans="1:4" ht="25.5" x14ac:dyDescent="0.2">
      <c r="A16" s="1" t="s">
        <v>25</v>
      </c>
      <c r="B16" s="10" t="s">
        <v>23</v>
      </c>
      <c r="C16" s="11" t="s">
        <v>26</v>
      </c>
      <c r="D16" s="3">
        <v>84.367000000000004</v>
      </c>
    </row>
    <row r="17" spans="1:4" ht="25.5" x14ac:dyDescent="0.2">
      <c r="A17" s="1" t="s">
        <v>27</v>
      </c>
      <c r="B17" s="10" t="s">
        <v>23</v>
      </c>
      <c r="C17" s="11" t="s">
        <v>28</v>
      </c>
      <c r="D17" s="3" t="s">
        <v>29</v>
      </c>
    </row>
    <row r="18" spans="1:4" ht="25.5" x14ac:dyDescent="0.2">
      <c r="A18" s="1" t="s">
        <v>30</v>
      </c>
      <c r="B18" s="10" t="s">
        <v>31</v>
      </c>
      <c r="C18" s="11" t="s">
        <v>32</v>
      </c>
      <c r="D18" s="3">
        <v>93.558000000000007</v>
      </c>
    </row>
    <row r="19" spans="1:4" ht="25.5" x14ac:dyDescent="0.2">
      <c r="A19" s="1" t="s">
        <v>33</v>
      </c>
      <c r="B19" s="10" t="s">
        <v>31</v>
      </c>
      <c r="C19" s="11" t="s">
        <v>34</v>
      </c>
      <c r="D19" s="3">
        <v>93.563000000000002</v>
      </c>
    </row>
    <row r="20" spans="1:4" ht="25.5" x14ac:dyDescent="0.2">
      <c r="A20" s="1" t="s">
        <v>35</v>
      </c>
      <c r="B20" s="10" t="s">
        <v>31</v>
      </c>
      <c r="C20" s="11" t="s">
        <v>36</v>
      </c>
      <c r="D20" s="3">
        <v>93.567999999999998</v>
      </c>
    </row>
    <row r="21" spans="1:4" ht="25.5" x14ac:dyDescent="0.2">
      <c r="A21" s="1" t="s">
        <v>37</v>
      </c>
      <c r="B21" s="10" t="s">
        <v>31</v>
      </c>
      <c r="C21" s="11" t="s">
        <v>38</v>
      </c>
      <c r="D21" s="3">
        <v>93.575000000000003</v>
      </c>
    </row>
    <row r="22" spans="1:4" ht="25.5" x14ac:dyDescent="0.2">
      <c r="A22" s="1" t="s">
        <v>39</v>
      </c>
      <c r="B22" s="10" t="s">
        <v>31</v>
      </c>
      <c r="C22" s="11" t="s">
        <v>40</v>
      </c>
      <c r="D22" s="3" t="s">
        <v>41</v>
      </c>
    </row>
    <row r="23" spans="1:4" ht="25.5" x14ac:dyDescent="0.2">
      <c r="A23" s="1" t="s">
        <v>42</v>
      </c>
      <c r="B23" s="10" t="s">
        <v>31</v>
      </c>
      <c r="C23" s="11" t="s">
        <v>43</v>
      </c>
      <c r="D23" s="3" t="s">
        <v>44</v>
      </c>
    </row>
    <row r="24" spans="1:4" ht="25.5" x14ac:dyDescent="0.2">
      <c r="A24" s="1" t="s">
        <v>45</v>
      </c>
      <c r="B24" s="10" t="s">
        <v>31</v>
      </c>
      <c r="C24" s="11" t="s">
        <v>46</v>
      </c>
      <c r="D24" s="3">
        <v>93.6</v>
      </c>
    </row>
    <row r="25" spans="1:4" ht="25.5" x14ac:dyDescent="0.2">
      <c r="A25" s="1" t="s">
        <v>47</v>
      </c>
      <c r="B25" s="10" t="s">
        <v>31</v>
      </c>
      <c r="C25" s="11" t="s">
        <v>48</v>
      </c>
      <c r="D25" s="3">
        <v>93.658000000000001</v>
      </c>
    </row>
    <row r="26" spans="1:4" ht="25.5" x14ac:dyDescent="0.2">
      <c r="A26" s="1" t="s">
        <v>49</v>
      </c>
      <c r="B26" s="10" t="s">
        <v>31</v>
      </c>
      <c r="C26" s="11" t="s">
        <v>50</v>
      </c>
      <c r="D26" s="3">
        <v>93.659000000000006</v>
      </c>
    </row>
    <row r="27" spans="1:4" ht="25.5" x14ac:dyDescent="0.2">
      <c r="A27" s="1" t="s">
        <v>51</v>
      </c>
      <c r="B27" s="10" t="s">
        <v>31</v>
      </c>
      <c r="C27" s="11" t="s">
        <v>52</v>
      </c>
      <c r="D27" s="3">
        <v>93.667000000000002</v>
      </c>
    </row>
    <row r="28" spans="1:4" ht="25.5" x14ac:dyDescent="0.2">
      <c r="A28" s="1" t="s">
        <v>53</v>
      </c>
      <c r="B28" s="10" t="s">
        <v>54</v>
      </c>
      <c r="C28" s="11" t="s">
        <v>55</v>
      </c>
      <c r="D28" s="3">
        <v>93.766999999999996</v>
      </c>
    </row>
    <row r="29" spans="1:4" ht="25.5" x14ac:dyDescent="0.2">
      <c r="A29" s="1" t="s">
        <v>56</v>
      </c>
      <c r="B29" s="10" t="s">
        <v>54</v>
      </c>
      <c r="C29" s="11" t="s">
        <v>57</v>
      </c>
      <c r="D29" s="3">
        <v>93.778000000000006</v>
      </c>
    </row>
    <row r="30" spans="1:4" ht="25.5" x14ac:dyDescent="0.2">
      <c r="A30" s="1" t="s">
        <v>58</v>
      </c>
      <c r="B30" s="10" t="s">
        <v>59</v>
      </c>
      <c r="C30" s="11" t="s">
        <v>60</v>
      </c>
      <c r="D30" s="3">
        <v>93.917000000000002</v>
      </c>
    </row>
    <row r="31" spans="1:4" ht="25.5" x14ac:dyDescent="0.2">
      <c r="A31" s="1" t="s">
        <v>61</v>
      </c>
      <c r="B31" s="10" t="s">
        <v>62</v>
      </c>
      <c r="C31" s="11" t="s">
        <v>63</v>
      </c>
      <c r="D31" s="3" t="s">
        <v>64</v>
      </c>
    </row>
    <row r="32" spans="1:4" ht="25.5" x14ac:dyDescent="0.2">
      <c r="A32" s="1" t="s">
        <v>65</v>
      </c>
      <c r="B32" s="10" t="s">
        <v>66</v>
      </c>
      <c r="C32" s="11" t="s">
        <v>67</v>
      </c>
      <c r="D32" s="3" t="s">
        <v>68</v>
      </c>
    </row>
    <row r="33" spans="1:4" ht="25.5" x14ac:dyDescent="0.2">
      <c r="A33" s="1" t="s">
        <v>69</v>
      </c>
      <c r="B33" s="10" t="s">
        <v>66</v>
      </c>
      <c r="C33" s="11" t="s">
        <v>70</v>
      </c>
      <c r="D33" s="3" t="s">
        <v>71</v>
      </c>
    </row>
    <row r="34" spans="1:4" ht="25.5" x14ac:dyDescent="0.2">
      <c r="A34" s="1" t="s">
        <v>72</v>
      </c>
      <c r="B34" s="10" t="s">
        <v>73</v>
      </c>
      <c r="C34" s="11" t="s">
        <v>74</v>
      </c>
      <c r="D34" s="3">
        <v>14.871</v>
      </c>
    </row>
    <row r="35" spans="1:4" ht="25.5" x14ac:dyDescent="0.2">
      <c r="A35" s="1" t="s">
        <v>75</v>
      </c>
      <c r="B35" s="10" t="s">
        <v>73</v>
      </c>
      <c r="C35" s="11" t="s">
        <v>76</v>
      </c>
      <c r="D35" s="3">
        <v>14.85</v>
      </c>
    </row>
    <row r="36" spans="1:4" ht="25.5" x14ac:dyDescent="0.2">
      <c r="A36" s="1" t="s">
        <v>77</v>
      </c>
      <c r="B36" s="10" t="s">
        <v>73</v>
      </c>
      <c r="C36" s="11" t="s">
        <v>78</v>
      </c>
      <c r="D36" s="3">
        <v>14.872</v>
      </c>
    </row>
    <row r="37" spans="1:4" ht="25.5" x14ac:dyDescent="0.2">
      <c r="A37" s="1" t="s">
        <v>79</v>
      </c>
      <c r="B37" s="10" t="s">
        <v>80</v>
      </c>
      <c r="C37" s="11" t="s">
        <v>81</v>
      </c>
      <c r="D37" s="3">
        <v>17.225000000000001</v>
      </c>
    </row>
    <row r="38" spans="1:4" ht="25.5" x14ac:dyDescent="0.2">
      <c r="A38" s="1" t="s">
        <v>82</v>
      </c>
      <c r="B38" s="10" t="s">
        <v>83</v>
      </c>
      <c r="C38" s="11" t="s">
        <v>84</v>
      </c>
      <c r="D38" s="3">
        <v>20.106000000000002</v>
      </c>
    </row>
    <row r="39" spans="1:4" ht="25.5" x14ac:dyDescent="0.2">
      <c r="A39" s="1" t="s">
        <v>85</v>
      </c>
      <c r="B39" s="10" t="s">
        <v>86</v>
      </c>
      <c r="C39" s="11" t="s">
        <v>87</v>
      </c>
      <c r="D39" s="3">
        <v>20.204999999999998</v>
      </c>
    </row>
    <row r="40" spans="1:4" ht="25.5" x14ac:dyDescent="0.2">
      <c r="A40" s="1" t="s">
        <v>88</v>
      </c>
      <c r="B40" s="10" t="s">
        <v>89</v>
      </c>
      <c r="C40" s="11" t="s">
        <v>90</v>
      </c>
      <c r="D40" s="3">
        <v>20.507000000000001</v>
      </c>
    </row>
    <row r="41" spans="1:4" ht="25.5" x14ac:dyDescent="0.2">
      <c r="A41" s="1" t="s">
        <v>91</v>
      </c>
      <c r="B41" s="10" t="s">
        <v>92</v>
      </c>
      <c r="C41" s="11" t="s">
        <v>93</v>
      </c>
      <c r="D41" s="3">
        <v>66.457999999999998</v>
      </c>
    </row>
    <row r="42" spans="1:4" ht="25.5" x14ac:dyDescent="0.2">
      <c r="A42" s="1" t="s">
        <v>94</v>
      </c>
      <c r="B42" s="10" t="s">
        <v>92</v>
      </c>
      <c r="C42" s="11" t="s">
        <v>95</v>
      </c>
      <c r="D42" s="3">
        <v>66.468000000000004</v>
      </c>
    </row>
    <row r="43" spans="1:4" x14ac:dyDescent="0.2">
      <c r="A43" s="1" t="s">
        <v>96</v>
      </c>
      <c r="B43" s="10" t="s">
        <v>97</v>
      </c>
      <c r="C43" s="11" t="s">
        <v>98</v>
      </c>
      <c r="D43" s="3" t="s">
        <v>29</v>
      </c>
    </row>
  </sheetData>
  <hyperlinks>
    <hyperlink ref="A8" location="'Table 14-5'!A1" display="'Table 14-5'!A1" xr:uid="{00000000-0004-0000-0000-000000000000}"/>
    <hyperlink ref="A9" location="'Table 14-6'!A1" display="'Table 14-6'!A1" xr:uid="{00000000-0004-0000-0000-000001000000}"/>
    <hyperlink ref="A10" location="'Table 14-7'!A1" display="'Table 14-7'!A1" xr:uid="{00000000-0004-0000-0000-000002000000}"/>
    <hyperlink ref="A11" location="'Table 14-8'!A1" display="'Table 14-8'!A1" xr:uid="{00000000-0004-0000-0000-000003000000}"/>
    <hyperlink ref="A12" location="'Table 14-9'!A1" display="'Table 14-9'!A1" xr:uid="{00000000-0004-0000-0000-000004000000}"/>
    <hyperlink ref="A13" location="'Table 14-10'!A1" display="'Table 14-10'!A1" xr:uid="{00000000-0004-0000-0000-000005000000}"/>
    <hyperlink ref="A14" location="'Table 14-11'!A1" display="'Table 14-11'!A1" xr:uid="{00000000-0004-0000-0000-000006000000}"/>
    <hyperlink ref="A15" location="'Table 14-12'!A1" display="'Table 14-12'!A1" xr:uid="{00000000-0004-0000-0000-000007000000}"/>
    <hyperlink ref="A16" location="'Table 14-13'!A1" display="'Table 14-13'!A1" xr:uid="{00000000-0004-0000-0000-000008000000}"/>
    <hyperlink ref="A17" location="'Table 14-14'!A1" display="'Table 14-14'!A1" xr:uid="{00000000-0004-0000-0000-000009000000}"/>
    <hyperlink ref="A18" location="'Table 14-15'!A1" display="'Table 14-15'!A1" xr:uid="{00000000-0004-0000-0000-00000A000000}"/>
    <hyperlink ref="A19" location="'Table 14-16'!A1" display="'Table 14-16'!A1" xr:uid="{00000000-0004-0000-0000-00000B000000}"/>
    <hyperlink ref="A20" location="'Table 14-17'!A1" display="'Table 14-17'!A1" xr:uid="{00000000-0004-0000-0000-00000C000000}"/>
    <hyperlink ref="A21" location="'Table 14-18'!A1" display="'Table 14-18'!A1" xr:uid="{00000000-0004-0000-0000-00000D000000}"/>
    <hyperlink ref="A22" location="'Table 14-19'!A1" display="'Table 14-19'!A1" xr:uid="{00000000-0004-0000-0000-00000E000000}"/>
    <hyperlink ref="A23" location="'Table 14-20'!A1" display="'Table 14-20'!A1" xr:uid="{00000000-0004-0000-0000-00000F000000}"/>
    <hyperlink ref="A24" location="'Table 14-21'!A1" display="'Table 14-21'!A1" xr:uid="{00000000-0004-0000-0000-000010000000}"/>
    <hyperlink ref="A25" location="'Table 14-22'!A1" display="'Table 14-22'!A1" xr:uid="{00000000-0004-0000-0000-000011000000}"/>
    <hyperlink ref="A26" location="'Table 14-23'!A1" display="'Table 14-23'!A1" xr:uid="{00000000-0004-0000-0000-000012000000}"/>
    <hyperlink ref="A27" location="'Table 14-24'!A1" display="'Table 14-24'!A1" xr:uid="{00000000-0004-0000-0000-000013000000}"/>
    <hyperlink ref="A28" location="'Table 14-25'!A1" display="'Table 14-25'!A1" xr:uid="{00000000-0004-0000-0000-000014000000}"/>
    <hyperlink ref="A29" location="'Table 14-26'!A1" display="'Table 14-26'!A1" xr:uid="{00000000-0004-0000-0000-000015000000}"/>
    <hyperlink ref="A30" location="'Table 14-27'!A1" display="'Table 14-27'!A1" xr:uid="{00000000-0004-0000-0000-000016000000}"/>
    <hyperlink ref="A31" location="'Table 14-28'!A1" display="'Table 14-28'!A1" xr:uid="{00000000-0004-0000-0000-000017000000}"/>
    <hyperlink ref="A32" location="'Table 14-29'!A1" display="'Table 14-29'!A1" xr:uid="{00000000-0004-0000-0000-000018000000}"/>
    <hyperlink ref="A33" location="'Table 14-30'!A1" display="'Table 14-30'!A1" xr:uid="{00000000-0004-0000-0000-000019000000}"/>
    <hyperlink ref="A34" location="'Table 14-31'!A1" display="'Table 14-31'!A1" xr:uid="{00000000-0004-0000-0000-00001A000000}"/>
    <hyperlink ref="A35" location="'Table 14-32'!A1" display="'Table 14-32'!A1" xr:uid="{00000000-0004-0000-0000-00001B000000}"/>
    <hyperlink ref="A36" location="'Table 14-33'!A1" display="'Table 14-33'!A1" xr:uid="{00000000-0004-0000-0000-00001C000000}"/>
    <hyperlink ref="A37" location="'Table 14-34'!A1" display="'Table 14-34'!A1" xr:uid="{00000000-0004-0000-0000-00001D000000}"/>
    <hyperlink ref="A38" location="'Table 14-35'!A1" display="'Table 14-35'!A1" xr:uid="{00000000-0004-0000-0000-00001E000000}"/>
    <hyperlink ref="A39" location="'Table 14-36'!A1" display="'Table 14-36'!A1" xr:uid="{00000000-0004-0000-0000-00001F000000}"/>
    <hyperlink ref="A40" location="'Table 14-37'!A1" display="'Table 14-37'!A1" xr:uid="{00000000-0004-0000-0000-000020000000}"/>
    <hyperlink ref="A41" location="'Table 14-38'!A1" display="'Table 14-38'!A1" xr:uid="{00000000-0004-0000-0000-000021000000}"/>
    <hyperlink ref="A42" location="'Table 14-39'!A1" display="'Table 14-39'!A1" xr:uid="{00000000-0004-0000-0000-000022000000}"/>
    <hyperlink ref="A43" location="'Table 14-40'!A1" display="'Table 14-40'!A1" xr:uid="{00000000-0004-0000-0000-000023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73"/>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271</v>
      </c>
    </row>
    <row r="2" spans="1:7" x14ac:dyDescent="0.2">
      <c r="A2" s="13" t="s">
        <v>273</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24444</v>
      </c>
      <c r="C6" s="17">
        <v>0</v>
      </c>
      <c r="D6" s="17">
        <v>23836</v>
      </c>
      <c r="E6" s="17">
        <v>23836</v>
      </c>
      <c r="F6" s="17">
        <v>27965</v>
      </c>
      <c r="G6" s="18">
        <f>IF(AND(F71&lt;&gt;0,27965&lt;&gt;0),IF(100*27965/(F71-0)&lt;0.005,"*",100*27965/(F71-0)),0)</f>
        <v>1.442896835327109</v>
      </c>
    </row>
    <row r="7" spans="1:7" x14ac:dyDescent="0.2">
      <c r="A7" s="11" t="s">
        <v>112</v>
      </c>
      <c r="B7" s="17">
        <v>4266</v>
      </c>
      <c r="C7" s="17">
        <v>0</v>
      </c>
      <c r="D7" s="17">
        <v>4160</v>
      </c>
      <c r="E7" s="17">
        <v>4160</v>
      </c>
      <c r="F7" s="17">
        <v>4880</v>
      </c>
      <c r="G7" s="18">
        <f>IF(AND(F71&lt;&gt;0,4880&lt;&gt;0),IF(100*4880/(F71-0)&lt;0.005,"*",100*4880/(F71-0)),0)</f>
        <v>0.2517910443910707</v>
      </c>
    </row>
    <row r="8" spans="1:7" x14ac:dyDescent="0.2">
      <c r="A8" s="11" t="s">
        <v>113</v>
      </c>
      <c r="B8" s="17">
        <v>37907</v>
      </c>
      <c r="C8" s="17">
        <v>0</v>
      </c>
      <c r="D8" s="17">
        <v>36964</v>
      </c>
      <c r="E8" s="17">
        <v>36964</v>
      </c>
      <c r="F8" s="17">
        <v>43367</v>
      </c>
      <c r="G8" s="18">
        <f>IF(AND(F71&lt;&gt;0,43367&lt;&gt;0),IF(100*43367/(F71-0)&lt;0.005,"*",100*43367/(F71-0)),0)</f>
        <v>2.2375865209236809</v>
      </c>
    </row>
    <row r="9" spans="1:7" x14ac:dyDescent="0.2">
      <c r="A9" s="11" t="s">
        <v>114</v>
      </c>
      <c r="B9" s="17">
        <v>16414</v>
      </c>
      <c r="C9" s="17">
        <v>0</v>
      </c>
      <c r="D9" s="17">
        <v>16006</v>
      </c>
      <c r="E9" s="17">
        <v>16006</v>
      </c>
      <c r="F9" s="17">
        <v>18778</v>
      </c>
      <c r="G9" s="18">
        <f>IF(AND(F71&lt;&gt;0,18778&lt;&gt;0),IF(100*18778/(F71-0)&lt;0.005,"*",100*18778/(F71-0)),0)</f>
        <v>0.96887955565072248</v>
      </c>
    </row>
    <row r="10" spans="1:7" x14ac:dyDescent="0.2">
      <c r="A10" s="11" t="s">
        <v>115</v>
      </c>
      <c r="B10" s="17">
        <v>211088</v>
      </c>
      <c r="C10" s="17">
        <v>0</v>
      </c>
      <c r="D10" s="17">
        <v>205839</v>
      </c>
      <c r="E10" s="17">
        <v>205839</v>
      </c>
      <c r="F10" s="17">
        <v>241494</v>
      </c>
      <c r="G10" s="18">
        <f>IF(AND(F71&lt;&gt;0,241494&lt;&gt;0),IF(100*241494/(F71-0)&lt;0.005,"*",100*241494/(F71-0)),0)</f>
        <v>12.460251326675662</v>
      </c>
    </row>
    <row r="11" spans="1:7" x14ac:dyDescent="0.2">
      <c r="A11" s="11" t="s">
        <v>116</v>
      </c>
      <c r="B11" s="17">
        <v>29271</v>
      </c>
      <c r="C11" s="17">
        <v>0</v>
      </c>
      <c r="D11" s="17">
        <v>28543</v>
      </c>
      <c r="E11" s="17">
        <v>28543</v>
      </c>
      <c r="F11" s="17">
        <v>33487</v>
      </c>
      <c r="G11" s="18">
        <f>IF(AND(F71&lt;&gt;0,33487&lt;&gt;0),IF(100*33487/(F71-0)&lt;0.005,"*",100*33487/(F71-0)),0)</f>
        <v>1.7278128490827427</v>
      </c>
    </row>
    <row r="12" spans="1:7" x14ac:dyDescent="0.2">
      <c r="A12" s="11" t="s">
        <v>117</v>
      </c>
      <c r="B12" s="17">
        <v>16064</v>
      </c>
      <c r="C12" s="17">
        <v>0</v>
      </c>
      <c r="D12" s="17">
        <v>15664</v>
      </c>
      <c r="E12" s="17">
        <v>15664</v>
      </c>
      <c r="F12" s="17">
        <v>18378</v>
      </c>
      <c r="G12" s="18">
        <f>IF(AND(F71&lt;&gt;0,18378&lt;&gt;0),IF(100*18378/(F71-0)&lt;0.005,"*",100*18378/(F71-0)),0)</f>
        <v>0.94824094545473303</v>
      </c>
    </row>
    <row r="13" spans="1:7" x14ac:dyDescent="0.2">
      <c r="A13" s="11" t="s">
        <v>118</v>
      </c>
      <c r="B13" s="17">
        <v>4730</v>
      </c>
      <c r="C13" s="17">
        <v>0</v>
      </c>
      <c r="D13" s="17">
        <v>4613</v>
      </c>
      <c r="E13" s="17">
        <v>4613</v>
      </c>
      <c r="F13" s="17">
        <v>5412</v>
      </c>
      <c r="G13" s="18">
        <f>IF(AND(F71&lt;&gt;0,5412&lt;&gt;0),IF(100*5412/(F71-0)&lt;0.005,"*",100*5412/(F71-0)),0)</f>
        <v>0.27924039595173661</v>
      </c>
    </row>
    <row r="14" spans="1:7" x14ac:dyDescent="0.2">
      <c r="A14" s="11" t="s">
        <v>119</v>
      </c>
      <c r="B14" s="17">
        <v>3185</v>
      </c>
      <c r="C14" s="17">
        <v>0</v>
      </c>
      <c r="D14" s="17">
        <v>3106</v>
      </c>
      <c r="E14" s="17">
        <v>3106</v>
      </c>
      <c r="F14" s="17">
        <v>3644</v>
      </c>
      <c r="G14" s="18">
        <f>IF(AND(F71&lt;&gt;0,3644&lt;&gt;0),IF(100*3644/(F71-0)&lt;0.005,"*",100*3644/(F71-0)),0)</f>
        <v>0.18801773888546344</v>
      </c>
    </row>
    <row r="15" spans="1:7" x14ac:dyDescent="0.2">
      <c r="A15" s="11" t="s">
        <v>120</v>
      </c>
      <c r="B15" s="17">
        <v>97282</v>
      </c>
      <c r="C15" s="17">
        <v>0</v>
      </c>
      <c r="D15" s="17">
        <v>94863</v>
      </c>
      <c r="E15" s="17">
        <v>94863</v>
      </c>
      <c r="F15" s="17">
        <v>111295</v>
      </c>
      <c r="G15" s="18">
        <f>IF(AND(F71&lt;&gt;0,111295&lt;&gt;0),IF(100*111295/(F71-0)&lt;0.005,"*",100*111295/(F71-0)),0)</f>
        <v>5.7424353044066017</v>
      </c>
    </row>
    <row r="16" spans="1:7" x14ac:dyDescent="0.2">
      <c r="A16" s="11" t="s">
        <v>121</v>
      </c>
      <c r="B16" s="17">
        <v>56032</v>
      </c>
      <c r="C16" s="17">
        <v>0</v>
      </c>
      <c r="D16" s="17">
        <v>54638</v>
      </c>
      <c r="E16" s="17">
        <v>54638</v>
      </c>
      <c r="F16" s="17">
        <v>64102</v>
      </c>
      <c r="G16" s="18">
        <f>IF(AND(F71&lt;&gt;0,64102&lt;&gt;0),IF(100*64102/(F71-0)&lt;0.005,"*",100*64102/(F71-0)),0)</f>
        <v>3.3074404769582815</v>
      </c>
    </row>
    <row r="17" spans="1:7" x14ac:dyDescent="0.2">
      <c r="A17" s="11" t="s">
        <v>122</v>
      </c>
      <c r="B17" s="17">
        <v>7088</v>
      </c>
      <c r="C17" s="17">
        <v>0</v>
      </c>
      <c r="D17" s="17">
        <v>6912</v>
      </c>
      <c r="E17" s="17">
        <v>6912</v>
      </c>
      <c r="F17" s="17">
        <v>8109</v>
      </c>
      <c r="G17" s="18">
        <f>IF(AND(F71&lt;&gt;0,8109&lt;&gt;0),IF(100*8109/(F71-0)&lt;0.005,"*",100*8109/(F71-0)),0)</f>
        <v>0.41839622519819514</v>
      </c>
    </row>
    <row r="18" spans="1:7" x14ac:dyDescent="0.2">
      <c r="A18" s="11" t="s">
        <v>123</v>
      </c>
      <c r="B18" s="17">
        <v>9942</v>
      </c>
      <c r="C18" s="17">
        <v>0</v>
      </c>
      <c r="D18" s="17">
        <v>9695</v>
      </c>
      <c r="E18" s="17">
        <v>9695</v>
      </c>
      <c r="F18" s="17">
        <v>11374</v>
      </c>
      <c r="G18" s="18">
        <f>IF(AND(F71&lt;&gt;0,11374&lt;&gt;0),IF(100*11374/(F71-0)&lt;0.005,"*",100*11374/(F71-0)),0)</f>
        <v>0.58685888092295868</v>
      </c>
    </row>
    <row r="19" spans="1:7" x14ac:dyDescent="0.2">
      <c r="A19" s="11" t="s">
        <v>124</v>
      </c>
      <c r="B19" s="17">
        <v>66576</v>
      </c>
      <c r="C19" s="17">
        <v>0</v>
      </c>
      <c r="D19" s="17">
        <v>64920</v>
      </c>
      <c r="E19" s="17">
        <v>64920</v>
      </c>
      <c r="F19" s="17">
        <v>76166</v>
      </c>
      <c r="G19" s="18">
        <f>IF(AND(F71&lt;&gt;0,76166&lt;&gt;0),IF(100*76166/(F71-0)&lt;0.005,"*",100*76166/(F71-0)),0)</f>
        <v>3.9299009604693218</v>
      </c>
    </row>
    <row r="20" spans="1:7" x14ac:dyDescent="0.2">
      <c r="A20" s="11" t="s">
        <v>125</v>
      </c>
      <c r="B20" s="17">
        <v>36281</v>
      </c>
      <c r="C20" s="17">
        <v>0</v>
      </c>
      <c r="D20" s="17">
        <v>35378</v>
      </c>
      <c r="E20" s="17">
        <v>35378</v>
      </c>
      <c r="F20" s="17">
        <v>41507</v>
      </c>
      <c r="G20" s="18">
        <f>IF(AND(F71&lt;&gt;0,41507&lt;&gt;0),IF(100*41507/(F71-0)&lt;0.005,"*",100*41507/(F71-0)),0)</f>
        <v>2.1416169835123302</v>
      </c>
    </row>
    <row r="21" spans="1:7" x14ac:dyDescent="0.2">
      <c r="A21" s="11" t="s">
        <v>126</v>
      </c>
      <c r="B21" s="17">
        <v>17045</v>
      </c>
      <c r="C21" s="17">
        <v>0</v>
      </c>
      <c r="D21" s="17">
        <v>16621</v>
      </c>
      <c r="E21" s="17">
        <v>16621</v>
      </c>
      <c r="F21" s="17">
        <v>19501</v>
      </c>
      <c r="G21" s="18">
        <f>IF(AND(F71&lt;&gt;0,19501&lt;&gt;0),IF(100*19501/(F71-0)&lt;0.005,"*",100*19501/(F71-0)),0)</f>
        <v>1.0061838435799733</v>
      </c>
    </row>
    <row r="22" spans="1:7" x14ac:dyDescent="0.2">
      <c r="A22" s="11" t="s">
        <v>127</v>
      </c>
      <c r="B22" s="17">
        <v>16088</v>
      </c>
      <c r="C22" s="17">
        <v>0</v>
      </c>
      <c r="D22" s="17">
        <v>15687</v>
      </c>
      <c r="E22" s="17">
        <v>15687</v>
      </c>
      <c r="F22" s="17">
        <v>18405</v>
      </c>
      <c r="G22" s="18">
        <f>IF(AND(F71&lt;&gt;0,18405&lt;&gt;0),IF(100*18405/(F71-0)&lt;0.005,"*",100*18405/(F71-0)),0)</f>
        <v>0.94963405164296233</v>
      </c>
    </row>
    <row r="23" spans="1:7" x14ac:dyDescent="0.2">
      <c r="A23" s="11" t="s">
        <v>128</v>
      </c>
      <c r="B23" s="17">
        <v>22708</v>
      </c>
      <c r="C23" s="17">
        <v>0</v>
      </c>
      <c r="D23" s="17">
        <v>22143</v>
      </c>
      <c r="E23" s="17">
        <v>22143</v>
      </c>
      <c r="F23" s="17">
        <v>25979</v>
      </c>
      <c r="G23" s="18">
        <f>IF(AND(F71&lt;&gt;0,25979&lt;&gt;0),IF(100*25979/(F71-0)&lt;0.005,"*",100*25979/(F71-0)),0)</f>
        <v>1.3404261357040217</v>
      </c>
    </row>
    <row r="24" spans="1:7" x14ac:dyDescent="0.2">
      <c r="A24" s="11" t="s">
        <v>129</v>
      </c>
      <c r="B24" s="17">
        <v>25181</v>
      </c>
      <c r="C24" s="17">
        <v>0</v>
      </c>
      <c r="D24" s="17">
        <v>24555</v>
      </c>
      <c r="E24" s="17">
        <v>24555</v>
      </c>
      <c r="F24" s="17">
        <v>28808</v>
      </c>
      <c r="G24" s="18">
        <f>IF(AND(F71&lt;&gt;0,28808&lt;&gt;0),IF(100*28808/(F71-0)&lt;0.005,"*",100*28808/(F71-0)),0)</f>
        <v>1.4863927063151567</v>
      </c>
    </row>
    <row r="25" spans="1:7" x14ac:dyDescent="0.2">
      <c r="A25" s="11" t="s">
        <v>130</v>
      </c>
      <c r="B25" s="17">
        <v>5541</v>
      </c>
      <c r="C25" s="17">
        <v>0</v>
      </c>
      <c r="D25" s="17">
        <v>5403</v>
      </c>
      <c r="E25" s="17">
        <v>5403</v>
      </c>
      <c r="F25" s="17">
        <v>6339</v>
      </c>
      <c r="G25" s="18">
        <f>IF(AND(F71&lt;&gt;0,6339&lt;&gt;0),IF(100*6339/(F71-0)&lt;0.005,"*",100*6339/(F71-0)),0)</f>
        <v>0.32707037508094206</v>
      </c>
    </row>
    <row r="26" spans="1:7" x14ac:dyDescent="0.2">
      <c r="A26" s="11" t="s">
        <v>131</v>
      </c>
      <c r="B26" s="17">
        <v>31301</v>
      </c>
      <c r="C26" s="17">
        <v>0</v>
      </c>
      <c r="D26" s="17">
        <v>30523</v>
      </c>
      <c r="E26" s="17">
        <v>30523</v>
      </c>
      <c r="F26" s="17">
        <v>35810</v>
      </c>
      <c r="G26" s="18">
        <f>IF(AND(F71&lt;&gt;0,35810&lt;&gt;0),IF(100*35810/(F71-0)&lt;0.005,"*",100*35810/(F71-0)),0)</f>
        <v>1.8476715777959511</v>
      </c>
    </row>
    <row r="27" spans="1:7" x14ac:dyDescent="0.2">
      <c r="A27" s="11" t="s">
        <v>132</v>
      </c>
      <c r="B27" s="17">
        <v>31129</v>
      </c>
      <c r="C27" s="17">
        <v>0</v>
      </c>
      <c r="D27" s="17">
        <v>30355</v>
      </c>
      <c r="E27" s="17">
        <v>30355</v>
      </c>
      <c r="F27" s="17">
        <v>35613</v>
      </c>
      <c r="G27" s="18">
        <f>IF(AND(F71&lt;&gt;0,35613&lt;&gt;0),IF(100*35613/(F71-0)&lt;0.005,"*",100*35613/(F71-0)),0)</f>
        <v>1.8375070622744265</v>
      </c>
    </row>
    <row r="28" spans="1:7" x14ac:dyDescent="0.2">
      <c r="A28" s="11" t="s">
        <v>133</v>
      </c>
      <c r="B28" s="17">
        <v>47957</v>
      </c>
      <c r="C28" s="17">
        <v>0</v>
      </c>
      <c r="D28" s="17">
        <v>46764</v>
      </c>
      <c r="E28" s="17">
        <v>46764</v>
      </c>
      <c r="F28" s="17">
        <v>54865</v>
      </c>
      <c r="G28" s="18">
        <f>IF(AND(F71&lt;&gt;0,54865&lt;&gt;0),IF(100*54865/(F71-0)&lt;0.005,"*",100*54865/(F71-0)),0)</f>
        <v>2.8308433710073966</v>
      </c>
    </row>
    <row r="29" spans="1:7" x14ac:dyDescent="0.2">
      <c r="A29" s="11" t="s">
        <v>134</v>
      </c>
      <c r="B29" s="17">
        <v>30319</v>
      </c>
      <c r="C29" s="17">
        <v>0</v>
      </c>
      <c r="D29" s="17">
        <v>29565</v>
      </c>
      <c r="E29" s="17">
        <v>29565</v>
      </c>
      <c r="F29" s="17">
        <v>34686</v>
      </c>
      <c r="G29" s="18">
        <f>IF(AND(F71&lt;&gt;0,34686&lt;&gt;0),IF(100*34686/(F71-0)&lt;0.005,"*",100*34686/(F71-0)),0)</f>
        <v>1.7896770831452209</v>
      </c>
    </row>
    <row r="30" spans="1:7" x14ac:dyDescent="0.2">
      <c r="A30" s="11" t="s">
        <v>135</v>
      </c>
      <c r="B30" s="17">
        <v>16511</v>
      </c>
      <c r="C30" s="17">
        <v>0</v>
      </c>
      <c r="D30" s="17">
        <v>16100</v>
      </c>
      <c r="E30" s="17">
        <v>16100</v>
      </c>
      <c r="F30" s="17">
        <v>18889</v>
      </c>
      <c r="G30" s="18">
        <f>IF(AND(F71&lt;&gt;0,18889&lt;&gt;0),IF(100*18889/(F71-0)&lt;0.005,"*",100*18889/(F71-0)),0)</f>
        <v>0.97460676998010953</v>
      </c>
    </row>
    <row r="31" spans="1:7" x14ac:dyDescent="0.2">
      <c r="A31" s="11" t="s">
        <v>136</v>
      </c>
      <c r="B31" s="17">
        <v>32075</v>
      </c>
      <c r="C31" s="17">
        <v>0</v>
      </c>
      <c r="D31" s="17">
        <v>31277</v>
      </c>
      <c r="E31" s="17">
        <v>31277</v>
      </c>
      <c r="F31" s="17">
        <v>36695</v>
      </c>
      <c r="G31" s="18">
        <f>IF(AND(F71&lt;&gt;0,36695&lt;&gt;0),IF(100*36695/(F71-0)&lt;0.005,"*",100*36695/(F71-0)),0)</f>
        <v>1.8933345028545778</v>
      </c>
    </row>
    <row r="32" spans="1:7" x14ac:dyDescent="0.2">
      <c r="A32" s="11" t="s">
        <v>137</v>
      </c>
      <c r="B32" s="17">
        <v>5370</v>
      </c>
      <c r="C32" s="17">
        <v>0</v>
      </c>
      <c r="D32" s="17">
        <v>5237</v>
      </c>
      <c r="E32" s="17">
        <v>5237</v>
      </c>
      <c r="F32" s="17">
        <v>6144</v>
      </c>
      <c r="G32" s="18">
        <f>IF(AND(F71&lt;&gt;0,6144&lt;&gt;0),IF(100*6144/(F71-0)&lt;0.005,"*",100*6144/(F71-0)),0)</f>
        <v>0.31700905261039719</v>
      </c>
    </row>
    <row r="33" spans="1:7" x14ac:dyDescent="0.2">
      <c r="A33" s="11" t="s">
        <v>138</v>
      </c>
      <c r="B33" s="17">
        <v>10829</v>
      </c>
      <c r="C33" s="17">
        <v>0</v>
      </c>
      <c r="D33" s="17">
        <v>10559</v>
      </c>
      <c r="E33" s="17">
        <v>10559</v>
      </c>
      <c r="F33" s="17">
        <v>12389</v>
      </c>
      <c r="G33" s="18">
        <f>IF(AND(F71&lt;&gt;0,12389&lt;&gt;0),IF(100*12389/(F71-0)&lt;0.005,"*",100*12389/(F71-0)),0)</f>
        <v>0.63922935429528172</v>
      </c>
    </row>
    <row r="34" spans="1:7" x14ac:dyDescent="0.2">
      <c r="A34" s="11" t="s">
        <v>139</v>
      </c>
      <c r="B34" s="17">
        <v>16015</v>
      </c>
      <c r="C34" s="17">
        <v>0</v>
      </c>
      <c r="D34" s="17">
        <v>15617</v>
      </c>
      <c r="E34" s="17">
        <v>15617</v>
      </c>
      <c r="F34" s="17">
        <v>18322</v>
      </c>
      <c r="G34" s="18">
        <f>IF(AND(F71&lt;&gt;0,18322&lt;&gt;0),IF(100*18322/(F71-0)&lt;0.005,"*",100*18322/(F71-0)),0)</f>
        <v>0.9453515400272946</v>
      </c>
    </row>
    <row r="35" spans="1:7" x14ac:dyDescent="0.2">
      <c r="A35" s="11" t="s">
        <v>140</v>
      </c>
      <c r="B35" s="17">
        <v>5593</v>
      </c>
      <c r="C35" s="17">
        <v>0</v>
      </c>
      <c r="D35" s="17">
        <v>5453</v>
      </c>
      <c r="E35" s="17">
        <v>5453</v>
      </c>
      <c r="F35" s="17">
        <v>6398</v>
      </c>
      <c r="G35" s="18">
        <f>IF(AND(F71&lt;&gt;0,6398&lt;&gt;0),IF(100*6398/(F71-0)&lt;0.005,"*",100*6398/(F71-0)),0)</f>
        <v>0.33011457008485051</v>
      </c>
    </row>
    <row r="36" spans="1:7" x14ac:dyDescent="0.2">
      <c r="A36" s="11" t="s">
        <v>141</v>
      </c>
      <c r="B36" s="17">
        <v>45317</v>
      </c>
      <c r="C36" s="17">
        <v>0</v>
      </c>
      <c r="D36" s="17">
        <v>44190</v>
      </c>
      <c r="E36" s="17">
        <v>44190</v>
      </c>
      <c r="F36" s="17">
        <v>51845</v>
      </c>
      <c r="G36" s="18">
        <f>IF(AND(F71&lt;&gt;0,51845&lt;&gt;0),IF(100*51845/(F71-0)&lt;0.005,"*",100*51845/(F71-0)),0)</f>
        <v>2.6750218640276762</v>
      </c>
    </row>
    <row r="37" spans="1:7" x14ac:dyDescent="0.2">
      <c r="A37" s="11" t="s">
        <v>142</v>
      </c>
      <c r="B37" s="17">
        <v>11304</v>
      </c>
      <c r="C37" s="17">
        <v>0</v>
      </c>
      <c r="D37" s="17">
        <v>11023</v>
      </c>
      <c r="E37" s="17">
        <v>11023</v>
      </c>
      <c r="F37" s="17">
        <v>12932</v>
      </c>
      <c r="G37" s="18">
        <f>IF(AND(F71&lt;&gt;0,12932&lt;&gt;0),IF(100*12932/(F71-0)&lt;0.005,"*",100*12932/(F71-0)),0)</f>
        <v>0.66724626763633732</v>
      </c>
    </row>
    <row r="38" spans="1:7" x14ac:dyDescent="0.2">
      <c r="A38" s="11" t="s">
        <v>143</v>
      </c>
      <c r="B38" s="17">
        <v>96441</v>
      </c>
      <c r="C38" s="17">
        <v>0</v>
      </c>
      <c r="D38" s="17">
        <v>94043</v>
      </c>
      <c r="E38" s="17">
        <v>94043</v>
      </c>
      <c r="F38" s="17">
        <v>110333</v>
      </c>
      <c r="G38" s="18">
        <f>IF(AND(F71&lt;&gt;0,110333&lt;&gt;0),IF(100*110333/(F71-0)&lt;0.005,"*",100*110333/(F71-0)),0)</f>
        <v>5.692799446885247</v>
      </c>
    </row>
    <row r="39" spans="1:7" x14ac:dyDescent="0.2">
      <c r="A39" s="11" t="s">
        <v>144</v>
      </c>
      <c r="B39" s="17">
        <v>53065</v>
      </c>
      <c r="C39" s="17">
        <v>0</v>
      </c>
      <c r="D39" s="17">
        <v>51746</v>
      </c>
      <c r="E39" s="17">
        <v>51746</v>
      </c>
      <c r="F39" s="17">
        <v>60709</v>
      </c>
      <c r="G39" s="18">
        <f>IF(AND(F71&lt;&gt;0,60709&lt;&gt;0),IF(100*60709/(F71-0)&lt;0.005,"*",100*60709/(F71-0)),0)</f>
        <v>3.1323734659708014</v>
      </c>
    </row>
    <row r="40" spans="1:7" x14ac:dyDescent="0.2">
      <c r="A40" s="11" t="s">
        <v>145</v>
      </c>
      <c r="B40" s="17">
        <v>4278</v>
      </c>
      <c r="C40" s="17">
        <v>0</v>
      </c>
      <c r="D40" s="17">
        <v>4172</v>
      </c>
      <c r="E40" s="17">
        <v>4172</v>
      </c>
      <c r="F40" s="17">
        <v>4894</v>
      </c>
      <c r="G40" s="18">
        <f>IF(AND(F71&lt;&gt;0,4894&lt;&gt;0),IF(100*4894/(F71-0)&lt;0.005,"*",100*4894/(F71-0)),0)</f>
        <v>0.25251339574793036</v>
      </c>
    </row>
    <row r="41" spans="1:7" x14ac:dyDescent="0.2">
      <c r="A41" s="11" t="s">
        <v>146</v>
      </c>
      <c r="B41" s="17">
        <v>59865</v>
      </c>
      <c r="C41" s="17">
        <v>0</v>
      </c>
      <c r="D41" s="17">
        <v>58377</v>
      </c>
      <c r="E41" s="17">
        <v>58377</v>
      </c>
      <c r="F41" s="17">
        <v>68489</v>
      </c>
      <c r="G41" s="18">
        <f>IF(AND(F71&lt;&gt;0,68489&lt;&gt;0),IF(100*68489/(F71-0)&lt;0.005,"*",100*68489/(F71-0)),0)</f>
        <v>3.5337944342827954</v>
      </c>
    </row>
    <row r="42" spans="1:7" x14ac:dyDescent="0.2">
      <c r="A42" s="11" t="s">
        <v>147</v>
      </c>
      <c r="B42" s="17">
        <v>21755</v>
      </c>
      <c r="C42" s="17">
        <v>0</v>
      </c>
      <c r="D42" s="17">
        <v>21213</v>
      </c>
      <c r="E42" s="17">
        <v>21213</v>
      </c>
      <c r="F42" s="17">
        <v>24888</v>
      </c>
      <c r="G42" s="18">
        <f>IF(AND(F71&lt;&gt;0,24888&lt;&gt;0),IF(100*24888/(F71-0)&lt;0.005,"*",100*24888/(F71-0)),0)</f>
        <v>1.2841343263944607</v>
      </c>
    </row>
    <row r="43" spans="1:7" x14ac:dyDescent="0.2">
      <c r="A43" s="11" t="s">
        <v>148</v>
      </c>
      <c r="B43" s="17">
        <v>20310</v>
      </c>
      <c r="C43" s="17">
        <v>0</v>
      </c>
      <c r="D43" s="17">
        <v>19805</v>
      </c>
      <c r="E43" s="17">
        <v>19805</v>
      </c>
      <c r="F43" s="17">
        <v>23235</v>
      </c>
      <c r="G43" s="18">
        <f>IF(AND(F71&lt;&gt;0,23235&lt;&gt;0),IF(100*23235/(F71-0)&lt;0.005,"*",100*23235/(F71-0)),0)</f>
        <v>1.1988452697595344</v>
      </c>
    </row>
    <row r="44" spans="1:7" x14ac:dyDescent="0.2">
      <c r="A44" s="11" t="s">
        <v>149</v>
      </c>
      <c r="B44" s="17">
        <v>61129</v>
      </c>
      <c r="C44" s="17">
        <v>0</v>
      </c>
      <c r="D44" s="17">
        <v>59609</v>
      </c>
      <c r="E44" s="17">
        <v>59609</v>
      </c>
      <c r="F44" s="17">
        <v>69934</v>
      </c>
      <c r="G44" s="18">
        <f>IF(AND(F71&lt;&gt;0,69934&lt;&gt;0),IF(100*69934/(F71-0)&lt;0.005,"*",100*69934/(F71-0)),0)</f>
        <v>3.6083514136158072</v>
      </c>
    </row>
    <row r="45" spans="1:7" x14ac:dyDescent="0.2">
      <c r="A45" s="11" t="s">
        <v>150</v>
      </c>
      <c r="B45" s="17">
        <v>4710</v>
      </c>
      <c r="C45" s="17">
        <v>0</v>
      </c>
      <c r="D45" s="17">
        <v>4593</v>
      </c>
      <c r="E45" s="17">
        <v>4593</v>
      </c>
      <c r="F45" s="17">
        <v>5388</v>
      </c>
      <c r="G45" s="18">
        <f>IF(AND(F71&lt;&gt;0,5388&lt;&gt;0),IF(100*5388/(F71-0)&lt;0.005,"*",100*5388/(F71-0)),0)</f>
        <v>0.27800207933997723</v>
      </c>
    </row>
    <row r="46" spans="1:7" x14ac:dyDescent="0.2">
      <c r="A46" s="11" t="s">
        <v>151</v>
      </c>
      <c r="B46" s="17">
        <v>24803</v>
      </c>
      <c r="C46" s="17">
        <v>0</v>
      </c>
      <c r="D46" s="17">
        <v>24186</v>
      </c>
      <c r="E46" s="17">
        <v>24186</v>
      </c>
      <c r="F46" s="17">
        <v>28375</v>
      </c>
      <c r="G46" s="18">
        <f>IF(AND(F71&lt;&gt;0,28375&lt;&gt;0),IF(100*28375/(F71-0)&lt;0.005,"*",100*28375/(F71-0)),0)</f>
        <v>1.4640514107779983</v>
      </c>
    </row>
    <row r="47" spans="1:7" x14ac:dyDescent="0.2">
      <c r="A47" s="11" t="s">
        <v>152</v>
      </c>
      <c r="B47" s="17">
        <v>5128</v>
      </c>
      <c r="C47" s="17">
        <v>0</v>
      </c>
      <c r="D47" s="17">
        <v>5000</v>
      </c>
      <c r="E47" s="17">
        <v>5000</v>
      </c>
      <c r="F47" s="17">
        <v>5866</v>
      </c>
      <c r="G47" s="18">
        <f>IF(AND(F71&lt;&gt;0,5866&lt;&gt;0),IF(100*5866/(F71-0)&lt;0.005,"*",100*5866/(F71-0)),0)</f>
        <v>0.3026652185241846</v>
      </c>
    </row>
    <row r="48" spans="1:7" x14ac:dyDescent="0.2">
      <c r="A48" s="11" t="s">
        <v>153</v>
      </c>
      <c r="B48" s="17">
        <v>33794</v>
      </c>
      <c r="C48" s="17">
        <v>0</v>
      </c>
      <c r="D48" s="17">
        <v>32954</v>
      </c>
      <c r="E48" s="17">
        <v>32954</v>
      </c>
      <c r="F48" s="17">
        <v>38662</v>
      </c>
      <c r="G48" s="18">
        <f>IF(AND(F71&lt;&gt;0,38662&lt;&gt;0),IF(100*38662/(F71-0)&lt;0.005,"*",100*38662/(F71-0)),0)</f>
        <v>1.9948248684933556</v>
      </c>
    </row>
    <row r="49" spans="1:7" x14ac:dyDescent="0.2">
      <c r="A49" s="11" t="s">
        <v>154</v>
      </c>
      <c r="B49" s="17">
        <v>172123</v>
      </c>
      <c r="C49" s="17">
        <v>0</v>
      </c>
      <c r="D49" s="17">
        <v>167843</v>
      </c>
      <c r="E49" s="17">
        <v>167843</v>
      </c>
      <c r="F49" s="17">
        <v>196916</v>
      </c>
      <c r="G49" s="18">
        <f>IF(AND(F71&lt;&gt;0,196916&lt;&gt;0),IF(100*196916/(F71-0)&lt;0.005,"*",100*196916/(F71-0)),0)</f>
        <v>10.160181413383622</v>
      </c>
    </row>
    <row r="50" spans="1:7" x14ac:dyDescent="0.2">
      <c r="A50" s="11" t="s">
        <v>155</v>
      </c>
      <c r="B50" s="17">
        <v>21792</v>
      </c>
      <c r="C50" s="17">
        <v>0</v>
      </c>
      <c r="D50" s="17">
        <v>21250</v>
      </c>
      <c r="E50" s="17">
        <v>21250</v>
      </c>
      <c r="F50" s="17">
        <v>24931</v>
      </c>
      <c r="G50" s="18">
        <f>IF(AND(F71&lt;&gt;0,24931&lt;&gt;0),IF(100*24931/(F71-0)&lt;0.005,"*",100*24931/(F71-0)),0)</f>
        <v>1.2863529769905295</v>
      </c>
    </row>
    <row r="51" spans="1:7" x14ac:dyDescent="0.2">
      <c r="A51" s="11" t="s">
        <v>156</v>
      </c>
      <c r="B51" s="17">
        <v>2642</v>
      </c>
      <c r="C51" s="17">
        <v>0</v>
      </c>
      <c r="D51" s="17">
        <v>2577</v>
      </c>
      <c r="E51" s="17">
        <v>2577</v>
      </c>
      <c r="F51" s="17">
        <v>3023</v>
      </c>
      <c r="G51" s="18">
        <f>IF(AND(F71&lt;&gt;0,3023&lt;&gt;0),IF(100*3023/(F71-0)&lt;0.005,"*",100*3023/(F71-0)),0)</f>
        <v>0.15597629655618991</v>
      </c>
    </row>
    <row r="52" spans="1:7" x14ac:dyDescent="0.2">
      <c r="A52" s="11" t="s">
        <v>157</v>
      </c>
      <c r="B52" s="17">
        <v>42033</v>
      </c>
      <c r="C52" s="17">
        <v>0</v>
      </c>
      <c r="D52" s="17">
        <v>40988</v>
      </c>
      <c r="E52" s="17">
        <v>40988</v>
      </c>
      <c r="F52" s="17">
        <v>48088</v>
      </c>
      <c r="G52" s="18">
        <f>IF(AND(F71&lt;&gt;0,48088&lt;&gt;0),IF(100*48088/(F71-0)&lt;0.005,"*",100*48088/(F71-0)),0)</f>
        <v>2.481173717761846</v>
      </c>
    </row>
    <row r="53" spans="1:7" x14ac:dyDescent="0.2">
      <c r="A53" s="11" t="s">
        <v>158</v>
      </c>
      <c r="B53" s="17">
        <v>38171</v>
      </c>
      <c r="C53" s="17">
        <v>0</v>
      </c>
      <c r="D53" s="17">
        <v>37222</v>
      </c>
      <c r="E53" s="17">
        <v>37222</v>
      </c>
      <c r="F53" s="17">
        <v>43669</v>
      </c>
      <c r="G53" s="18">
        <f>IF(AND(F71&lt;&gt;0,43669&lt;&gt;0),IF(100*43669/(F71-0)&lt;0.005,"*",100*43669/(F71-0)),0)</f>
        <v>2.253168671621653</v>
      </c>
    </row>
    <row r="54" spans="1:7" x14ac:dyDescent="0.2">
      <c r="A54" s="11" t="s">
        <v>159</v>
      </c>
      <c r="B54" s="17">
        <v>8515</v>
      </c>
      <c r="C54" s="17">
        <v>0</v>
      </c>
      <c r="D54" s="17">
        <v>8303</v>
      </c>
      <c r="E54" s="17">
        <v>8303</v>
      </c>
      <c r="F54" s="17">
        <v>9742</v>
      </c>
      <c r="G54" s="18">
        <f>IF(AND(F71&lt;&gt;0,9742&lt;&gt;0),IF(100*9742/(F71-0)&lt;0.005,"*",100*9742/(F71-0)),0)</f>
        <v>0.5026533513233219</v>
      </c>
    </row>
    <row r="55" spans="1:7" x14ac:dyDescent="0.2">
      <c r="A55" s="11" t="s">
        <v>160</v>
      </c>
      <c r="B55" s="17">
        <v>29460</v>
      </c>
      <c r="C55" s="17">
        <v>0</v>
      </c>
      <c r="D55" s="17">
        <v>28728</v>
      </c>
      <c r="E55" s="17">
        <v>28728</v>
      </c>
      <c r="F55" s="17">
        <v>33704</v>
      </c>
      <c r="G55" s="18">
        <f>IF(AND(F71&lt;&gt;0,33704&lt;&gt;0),IF(100*33704/(F71-0)&lt;0.005,"*",100*33704/(F71-0)),0)</f>
        <v>1.739009295114067</v>
      </c>
    </row>
    <row r="56" spans="1:7" x14ac:dyDescent="0.2">
      <c r="A56" s="11" t="s">
        <v>161</v>
      </c>
      <c r="B56" s="17">
        <v>3227</v>
      </c>
      <c r="C56" s="17">
        <v>0</v>
      </c>
      <c r="D56" s="17">
        <v>3147</v>
      </c>
      <c r="E56" s="17">
        <v>3147</v>
      </c>
      <c r="F56" s="17">
        <v>3691</v>
      </c>
      <c r="G56" s="18">
        <f>IF(AND(F71&lt;&gt;0,3691&lt;&gt;0),IF(100*3691/(F71-0)&lt;0.005,"*",100*3691/(F71-0)),0)</f>
        <v>0.19044277558349221</v>
      </c>
    </row>
    <row r="57" spans="1:7" x14ac:dyDescent="0.2">
      <c r="A57" s="11" t="s">
        <v>162</v>
      </c>
      <c r="B57" s="17">
        <v>0</v>
      </c>
      <c r="C57" s="17">
        <v>0</v>
      </c>
      <c r="D57" s="17">
        <v>0</v>
      </c>
      <c r="E57" s="17">
        <v>0</v>
      </c>
      <c r="F57" s="17">
        <v>0</v>
      </c>
      <c r="G57" s="18">
        <f>IF(AND(F71&lt;&gt;0,0&lt;&gt;0),IF(100*0/(F71-0)&lt;0.005,"*",100*0/(F71-0)),0)</f>
        <v>0</v>
      </c>
    </row>
    <row r="58" spans="1:7" x14ac:dyDescent="0.2">
      <c r="A58" s="11" t="s">
        <v>163</v>
      </c>
      <c r="B58" s="17">
        <v>0</v>
      </c>
      <c r="C58" s="17">
        <v>0</v>
      </c>
      <c r="D58" s="17">
        <v>0</v>
      </c>
      <c r="E58" s="17">
        <v>0</v>
      </c>
      <c r="F58" s="17">
        <v>0</v>
      </c>
      <c r="G58" s="18">
        <f>IF(AND(F71&lt;&gt;0,0&lt;&gt;0),IF(100*0/(F71-0)&lt;0.005,"*",100*0/(F71-0)),0)</f>
        <v>0</v>
      </c>
    </row>
    <row r="59" spans="1:7" x14ac:dyDescent="0.2">
      <c r="A59" s="11" t="s">
        <v>164</v>
      </c>
      <c r="B59" s="17">
        <v>0</v>
      </c>
      <c r="C59" s="17">
        <v>0</v>
      </c>
      <c r="D59" s="17">
        <v>0</v>
      </c>
      <c r="E59" s="17">
        <v>0</v>
      </c>
      <c r="F59" s="17">
        <v>0</v>
      </c>
      <c r="G59" s="18">
        <f>IF(AND(F71&lt;&gt;0,0&lt;&gt;0),IF(100*0/(F71-0)&lt;0.005,"*",100*0/(F71-0)),0)</f>
        <v>0</v>
      </c>
    </row>
    <row r="60" spans="1:7" x14ac:dyDescent="0.2">
      <c r="A60" s="11" t="s">
        <v>165</v>
      </c>
      <c r="B60" s="17">
        <v>0</v>
      </c>
      <c r="C60" s="17">
        <v>0</v>
      </c>
      <c r="D60" s="17">
        <v>0</v>
      </c>
      <c r="E60" s="17">
        <v>0</v>
      </c>
      <c r="F60" s="17">
        <v>0</v>
      </c>
      <c r="G60" s="18">
        <f>IF(AND(F71&lt;&gt;0,0&lt;&gt;0),IF(100*0/(F71-0)&lt;0.005,"*",100*0/(F71-0)),0)</f>
        <v>0</v>
      </c>
    </row>
    <row r="61" spans="1:7" x14ac:dyDescent="0.2">
      <c r="A61" s="11" t="s">
        <v>166</v>
      </c>
      <c r="B61" s="17">
        <v>0</v>
      </c>
      <c r="C61" s="17">
        <v>0</v>
      </c>
      <c r="D61" s="17">
        <v>0</v>
      </c>
      <c r="E61" s="17">
        <v>0</v>
      </c>
      <c r="F61" s="17">
        <v>0</v>
      </c>
      <c r="G61" s="18">
        <f>IF(AND(F71&lt;&gt;0,0&lt;&gt;0),IF(100*0/(F71-0)&lt;0.005,"*",100*0/(F71-0)),0)</f>
        <v>0</v>
      </c>
    </row>
    <row r="62" spans="1:7" x14ac:dyDescent="0.2">
      <c r="A62" s="11" t="s">
        <v>167</v>
      </c>
      <c r="B62" s="17">
        <v>0</v>
      </c>
      <c r="C62" s="17">
        <v>0</v>
      </c>
      <c r="D62" s="17">
        <v>0</v>
      </c>
      <c r="E62" s="17">
        <v>0</v>
      </c>
      <c r="F62" s="17">
        <v>0</v>
      </c>
      <c r="G62" s="18">
        <f>IF(AND(F71&lt;&gt;0,0&lt;&gt;0),IF(100*0/(F71-0)&lt;0.005,"*",100*0/(F71-0)),0)</f>
        <v>0</v>
      </c>
    </row>
    <row r="63" spans="1:7" x14ac:dyDescent="0.2">
      <c r="A63" s="11" t="s">
        <v>168</v>
      </c>
      <c r="B63" s="17">
        <v>0</v>
      </c>
      <c r="C63" s="17">
        <v>0</v>
      </c>
      <c r="D63" s="17">
        <v>0</v>
      </c>
      <c r="E63" s="17">
        <v>0</v>
      </c>
      <c r="F63" s="17">
        <v>0</v>
      </c>
      <c r="G63" s="18">
        <f>IF(AND(F71&lt;&gt;0,0&lt;&gt;0),IF(100*0/(F71-0)&lt;0.005,"*",100*0/(F71-0)),0)</f>
        <v>0</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IF(AND(F71&lt;&gt;0,0&lt;&gt;0),IF(100*0/(F71-0)&lt;0.005,"*",100*0/(F71-0)),0)</f>
        <v>0</v>
      </c>
    </row>
    <row r="66" spans="1:7" x14ac:dyDescent="0.2">
      <c r="A66" s="11" t="s">
        <v>260</v>
      </c>
      <c r="B66" s="17">
        <v>0</v>
      </c>
      <c r="C66" s="17">
        <v>0</v>
      </c>
      <c r="D66" s="17">
        <v>0</v>
      </c>
      <c r="E66" s="17">
        <v>0</v>
      </c>
      <c r="F66" s="17">
        <v>0</v>
      </c>
      <c r="G66" s="18">
        <f>IF(AND(F71&lt;&gt;0,0&lt;&gt;0),IF(100*0/(F71-0)&lt;0.005,"*",100*0/(F71-0)),0)</f>
        <v>0</v>
      </c>
    </row>
    <row r="67" spans="1:7" x14ac:dyDescent="0.2">
      <c r="A67" s="11" t="s">
        <v>261</v>
      </c>
      <c r="B67" s="17">
        <v>0</v>
      </c>
      <c r="C67" s="17">
        <v>0</v>
      </c>
      <c r="D67" s="17">
        <v>0</v>
      </c>
      <c r="E67" s="17">
        <v>0</v>
      </c>
      <c r="F67" s="17">
        <v>0</v>
      </c>
      <c r="G67" s="18">
        <f>IF(AND(F71&lt;&gt;0,0&lt;&gt;0),IF(100*0/(F71-0)&lt;0.005,"*",100*0/(F71-0)),0)</f>
        <v>0</v>
      </c>
    </row>
    <row r="68" spans="1:7" x14ac:dyDescent="0.2">
      <c r="A68" s="11" t="s">
        <v>262</v>
      </c>
      <c r="B68" s="17">
        <v>0</v>
      </c>
      <c r="C68" s="17">
        <v>0</v>
      </c>
      <c r="D68" s="17">
        <v>0</v>
      </c>
      <c r="E68" s="17">
        <v>0</v>
      </c>
      <c r="F68" s="17">
        <v>0</v>
      </c>
      <c r="G68" s="18">
        <f>IF(AND(F71&lt;&gt;0,0&lt;&gt;0),IF(100*0/(F71-0)&lt;0.005,"*",100*0/(F71-0)),0)</f>
        <v>0</v>
      </c>
    </row>
    <row r="69" spans="1:7" x14ac:dyDescent="0.2">
      <c r="A69" s="11" t="s">
        <v>263</v>
      </c>
      <c r="B69" s="17">
        <v>0</v>
      </c>
      <c r="C69" s="17">
        <v>0</v>
      </c>
      <c r="D69" s="17">
        <v>0</v>
      </c>
      <c r="E69" s="17">
        <v>0</v>
      </c>
      <c r="F69" s="17">
        <v>0</v>
      </c>
      <c r="G69" s="18">
        <f>IF(AND(F71&lt;&gt;0,0&lt;&gt;0),IF(100*0/(F71-0)&lt;0.005,"*",100*0/(F71-0)),0)</f>
        <v>0</v>
      </c>
    </row>
    <row r="70" spans="1:7" x14ac:dyDescent="0.2">
      <c r="A70" s="11" t="s">
        <v>184</v>
      </c>
      <c r="B70" s="17">
        <v>0</v>
      </c>
      <c r="C70" s="17">
        <v>0</v>
      </c>
      <c r="D70" s="17">
        <v>0</v>
      </c>
      <c r="E70" s="17">
        <v>0</v>
      </c>
      <c r="F70" s="17">
        <v>0</v>
      </c>
      <c r="G70" s="18">
        <f>IF(AND(F71&lt;&gt;0,0&lt;&gt;0),IF(100*0/(F71-0)&lt;0.005,"*",100*0/(F71-0)),0)</f>
        <v>0</v>
      </c>
    </row>
    <row r="71" spans="1:7" ht="15" customHeight="1" x14ac:dyDescent="0.2">
      <c r="A71" s="19" t="s">
        <v>110</v>
      </c>
      <c r="B71" s="20">
        <f>24444+4266+37907+16414+211088+29271+16064+4730+3185+97282+56032+7088+9942+66576+36281+17045+16088+22708+25181+5541+31301+31129+47957+30319+16511+32075+5370+10829+16015+5593+45317+11304+96441+53065+4278+59865+21755+20310+61129+4710+24803+5128+33794+172123+21792+2642+42033+38171+8515+29460+3227+0+0+0+0+0+0+0+0+0+0+0+0+0+0+0</f>
        <v>1694094</v>
      </c>
      <c r="C71" s="20">
        <f>0+0+0+0+0+0+0+0+0+0+0+0+0+0+0+0+0+0+0+0+0+0+0+0+0+0+0+0+0+0+0+0+0+0+0+0+0+0+0+0+0+0+0+0+0+0+0+0+0+0+0+0+0+0+0+0+0+0+0+0+0+0+0+0+0+0</f>
        <v>0</v>
      </c>
      <c r="D71" s="20">
        <f>23836+4160+36964+16006+205839+28543+15664+4613+3106+94863+54638+6912+9695+64920+35378+16621+15687+22143+24555+5403+30523+30355+46764+29565+16100+31277+5237+10559+15617+5453+44190+11023+94043+51746+4172+58377+21213+19805+59609+4593+24186+5000+32954+167843+21250+2577+40988+37222+8303+28728+3147+0+0+0+0+0+0+0+0+0+0+0+0+0+0+0</f>
        <v>1651965</v>
      </c>
      <c r="E71" s="20">
        <f>SUM(C71:D71)</f>
        <v>1651965</v>
      </c>
      <c r="F71" s="20">
        <f>27965+4880+43367+18778+241494+33487+18378+5412+3644+111295+64102+8109+11374+76166+41507+19501+18405+25979+28808+6339+35810+35613+54865+34686+18889+36695+6144+12389+18322+6398+51845+12932+110333+60709+4894+68489+24888+23235+69934+5388+28375+5866+38662+196916+24931+3023+48088+43669+9742+33704+3691+0+0+0+0+0+0+0+0+0+0+0+0+0+0+0</f>
        <v>1938115</v>
      </c>
      <c r="G71" s="21" t="s">
        <v>170</v>
      </c>
    </row>
    <row r="72" spans="1:7" ht="15" customHeight="1" x14ac:dyDescent="0.2">
      <c r="A72" s="74" t="s">
        <v>171</v>
      </c>
      <c r="B72" s="74"/>
      <c r="C72" s="74"/>
      <c r="D72" s="74"/>
      <c r="E72" s="74"/>
      <c r="F72" s="74"/>
      <c r="G72" s="74"/>
    </row>
    <row r="73" spans="1:7" ht="15" customHeight="1" x14ac:dyDescent="0.2">
      <c r="A73" s="67" t="s">
        <v>172</v>
      </c>
      <c r="B73" s="67"/>
      <c r="C73" s="67"/>
      <c r="D73" s="67"/>
      <c r="E73" s="67"/>
      <c r="F73" s="67"/>
      <c r="G73" s="67"/>
    </row>
  </sheetData>
  <mergeCells count="6">
    <mergeCell ref="A73:G73"/>
    <mergeCell ref="A4:A5"/>
    <mergeCell ref="B4:B5"/>
    <mergeCell ref="F4:F5"/>
    <mergeCell ref="G4:G5"/>
    <mergeCell ref="A72:G7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76"/>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274</v>
      </c>
    </row>
    <row r="2" spans="1:7" x14ac:dyDescent="0.2">
      <c r="A2" s="13" t="s">
        <v>275</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146610</v>
      </c>
      <c r="C6" s="17">
        <v>0</v>
      </c>
      <c r="D6" s="17">
        <v>153337</v>
      </c>
      <c r="E6" s="17">
        <v>153337</v>
      </c>
      <c r="F6" s="17">
        <v>152671</v>
      </c>
      <c r="G6" s="18">
        <v>1.438515343544932</v>
      </c>
    </row>
    <row r="7" spans="1:7" x14ac:dyDescent="0.2">
      <c r="A7" s="11" t="s">
        <v>112</v>
      </c>
      <c r="B7" s="17">
        <v>20243</v>
      </c>
      <c r="C7" s="17">
        <v>0</v>
      </c>
      <c r="D7" s="17">
        <v>19692</v>
      </c>
      <c r="E7" s="17">
        <v>19692</v>
      </c>
      <c r="F7" s="17">
        <v>19549</v>
      </c>
      <c r="G7" s="18">
        <v>0.18419697552881606</v>
      </c>
    </row>
    <row r="8" spans="1:7" x14ac:dyDescent="0.2">
      <c r="A8" s="11" t="s">
        <v>113</v>
      </c>
      <c r="B8" s="17">
        <v>173970</v>
      </c>
      <c r="C8" s="17">
        <v>0</v>
      </c>
      <c r="D8" s="17">
        <v>172030</v>
      </c>
      <c r="E8" s="17">
        <v>172030</v>
      </c>
      <c r="F8" s="17">
        <v>171117</v>
      </c>
      <c r="G8" s="18">
        <v>1.6123194977525406</v>
      </c>
    </row>
    <row r="9" spans="1:7" x14ac:dyDescent="0.2">
      <c r="A9" s="11" t="s">
        <v>114</v>
      </c>
      <c r="B9" s="17">
        <v>102417</v>
      </c>
      <c r="C9" s="17">
        <v>0</v>
      </c>
      <c r="D9" s="17">
        <v>106614</v>
      </c>
      <c r="E9" s="17">
        <v>106614</v>
      </c>
      <c r="F9" s="17">
        <v>105367</v>
      </c>
      <c r="G9" s="18">
        <v>0.99280181700060166</v>
      </c>
    </row>
    <row r="10" spans="1:7" x14ac:dyDescent="0.2">
      <c r="A10" s="11" t="s">
        <v>115</v>
      </c>
      <c r="B10" s="17">
        <v>1265360</v>
      </c>
      <c r="C10" s="17">
        <v>0</v>
      </c>
      <c r="D10" s="17">
        <v>1300718</v>
      </c>
      <c r="E10" s="17">
        <v>1300718</v>
      </c>
      <c r="F10" s="17">
        <v>1294690</v>
      </c>
      <c r="G10" s="18">
        <v>12.19898625236088</v>
      </c>
    </row>
    <row r="11" spans="1:7" x14ac:dyDescent="0.2">
      <c r="A11" s="11" t="s">
        <v>116</v>
      </c>
      <c r="B11" s="17">
        <v>112877</v>
      </c>
      <c r="C11" s="17">
        <v>0</v>
      </c>
      <c r="D11" s="17">
        <v>116142</v>
      </c>
      <c r="E11" s="17">
        <v>116142</v>
      </c>
      <c r="F11" s="17">
        <v>115467</v>
      </c>
      <c r="G11" s="18">
        <v>1.087967270621812</v>
      </c>
    </row>
    <row r="12" spans="1:7" x14ac:dyDescent="0.2">
      <c r="A12" s="11" t="s">
        <v>117</v>
      </c>
      <c r="B12" s="17">
        <v>69178</v>
      </c>
      <c r="C12" s="17">
        <v>0</v>
      </c>
      <c r="D12" s="17">
        <v>72438</v>
      </c>
      <c r="E12" s="17">
        <v>72438</v>
      </c>
      <c r="F12" s="17">
        <v>72157</v>
      </c>
      <c r="G12" s="18">
        <v>0.67988649870749296</v>
      </c>
    </row>
    <row r="13" spans="1:7" x14ac:dyDescent="0.2">
      <c r="A13" s="11" t="s">
        <v>118</v>
      </c>
      <c r="B13" s="17">
        <v>20777</v>
      </c>
      <c r="C13" s="17">
        <v>0</v>
      </c>
      <c r="D13" s="17">
        <v>21354</v>
      </c>
      <c r="E13" s="17">
        <v>21354</v>
      </c>
      <c r="F13" s="17">
        <v>21189</v>
      </c>
      <c r="G13" s="18">
        <v>0.19964958383958686</v>
      </c>
    </row>
    <row r="14" spans="1:7" x14ac:dyDescent="0.2">
      <c r="A14" s="11" t="s">
        <v>119</v>
      </c>
      <c r="B14" s="17">
        <v>36771</v>
      </c>
      <c r="C14" s="17">
        <v>0</v>
      </c>
      <c r="D14" s="17">
        <v>38535</v>
      </c>
      <c r="E14" s="17">
        <v>38535</v>
      </c>
      <c r="F14" s="17">
        <v>38056</v>
      </c>
      <c r="G14" s="18">
        <v>0.35857589138700824</v>
      </c>
    </row>
    <row r="15" spans="1:7" x14ac:dyDescent="0.2">
      <c r="A15" s="11" t="s">
        <v>120</v>
      </c>
      <c r="B15" s="17">
        <v>416038</v>
      </c>
      <c r="C15" s="17">
        <v>0</v>
      </c>
      <c r="D15" s="17">
        <v>433780</v>
      </c>
      <c r="E15" s="17">
        <v>433780</v>
      </c>
      <c r="F15" s="17">
        <v>429769</v>
      </c>
      <c r="G15" s="18">
        <v>4.0494219640924722</v>
      </c>
    </row>
    <row r="16" spans="1:7" x14ac:dyDescent="0.2">
      <c r="A16" s="11" t="s">
        <v>121</v>
      </c>
      <c r="B16" s="17">
        <v>243412</v>
      </c>
      <c r="C16" s="17">
        <v>0</v>
      </c>
      <c r="D16" s="17">
        <v>254575</v>
      </c>
      <c r="E16" s="17">
        <v>254575</v>
      </c>
      <c r="F16" s="17">
        <v>253300</v>
      </c>
      <c r="G16" s="18">
        <v>2.3866741982428312</v>
      </c>
    </row>
    <row r="17" spans="1:7" x14ac:dyDescent="0.2">
      <c r="A17" s="11" t="s">
        <v>122</v>
      </c>
      <c r="B17" s="17">
        <v>29519</v>
      </c>
      <c r="C17" s="17">
        <v>0</v>
      </c>
      <c r="D17" s="17">
        <v>30958</v>
      </c>
      <c r="E17" s="17">
        <v>30958</v>
      </c>
      <c r="F17" s="17">
        <v>30865</v>
      </c>
      <c r="G17" s="18">
        <v>0.29081997287313455</v>
      </c>
    </row>
    <row r="18" spans="1:7" x14ac:dyDescent="0.2">
      <c r="A18" s="11" t="s">
        <v>123</v>
      </c>
      <c r="B18" s="17">
        <v>41710</v>
      </c>
      <c r="C18" s="17">
        <v>0</v>
      </c>
      <c r="D18" s="17">
        <v>39507</v>
      </c>
      <c r="E18" s="17">
        <v>39507</v>
      </c>
      <c r="F18" s="17">
        <v>39355</v>
      </c>
      <c r="G18" s="18">
        <v>0.37081548784779556</v>
      </c>
    </row>
    <row r="19" spans="1:7" x14ac:dyDescent="0.2">
      <c r="A19" s="11" t="s">
        <v>124</v>
      </c>
      <c r="B19" s="17">
        <v>386044</v>
      </c>
      <c r="C19" s="17">
        <v>0</v>
      </c>
      <c r="D19" s="17">
        <v>399893</v>
      </c>
      <c r="E19" s="17">
        <v>399893</v>
      </c>
      <c r="F19" s="17">
        <v>397990</v>
      </c>
      <c r="G19" s="18">
        <v>3.7499899887827253</v>
      </c>
    </row>
    <row r="20" spans="1:7" x14ac:dyDescent="0.2">
      <c r="A20" s="11" t="s">
        <v>125</v>
      </c>
      <c r="B20" s="17">
        <v>152942</v>
      </c>
      <c r="C20" s="17">
        <v>0</v>
      </c>
      <c r="D20" s="17">
        <v>154972</v>
      </c>
      <c r="E20" s="17">
        <v>154972</v>
      </c>
      <c r="F20" s="17">
        <v>154232</v>
      </c>
      <c r="G20" s="18">
        <v>1.4532235884065865</v>
      </c>
    </row>
    <row r="21" spans="1:7" x14ac:dyDescent="0.2">
      <c r="A21" s="11" t="s">
        <v>126</v>
      </c>
      <c r="B21" s="17">
        <v>79246</v>
      </c>
      <c r="C21" s="17">
        <v>0</v>
      </c>
      <c r="D21" s="17">
        <v>79868</v>
      </c>
      <c r="E21" s="17">
        <v>79868</v>
      </c>
      <c r="F21" s="17">
        <v>79542</v>
      </c>
      <c r="G21" s="18">
        <v>0.7494703477166651</v>
      </c>
    </row>
    <row r="22" spans="1:7" x14ac:dyDescent="0.2">
      <c r="A22" s="11" t="s">
        <v>127</v>
      </c>
      <c r="B22" s="17">
        <v>78908</v>
      </c>
      <c r="C22" s="17">
        <v>0</v>
      </c>
      <c r="D22" s="17">
        <v>79700</v>
      </c>
      <c r="E22" s="17">
        <v>79700</v>
      </c>
      <c r="F22" s="17">
        <v>79550</v>
      </c>
      <c r="G22" s="18">
        <v>0.74954572629379079</v>
      </c>
    </row>
    <row r="23" spans="1:7" x14ac:dyDescent="0.2">
      <c r="A23" s="11" t="s">
        <v>128</v>
      </c>
      <c r="B23" s="17">
        <v>182664</v>
      </c>
      <c r="C23" s="17">
        <v>0</v>
      </c>
      <c r="D23" s="17">
        <v>178920</v>
      </c>
      <c r="E23" s="17">
        <v>178920</v>
      </c>
      <c r="F23" s="17">
        <v>178281</v>
      </c>
      <c r="G23" s="18">
        <v>1.6798210135686149</v>
      </c>
    </row>
    <row r="24" spans="1:7" x14ac:dyDescent="0.2">
      <c r="A24" s="11" t="s">
        <v>129</v>
      </c>
      <c r="B24" s="17">
        <v>197651</v>
      </c>
      <c r="C24" s="17">
        <v>0</v>
      </c>
      <c r="D24" s="17">
        <v>205290</v>
      </c>
      <c r="E24" s="17">
        <v>205290</v>
      </c>
      <c r="F24" s="17">
        <v>204311</v>
      </c>
      <c r="G24" s="18">
        <v>1.9250840588913978</v>
      </c>
    </row>
    <row r="25" spans="1:7" x14ac:dyDescent="0.2">
      <c r="A25" s="11" t="s">
        <v>130</v>
      </c>
      <c r="B25" s="17">
        <v>43450</v>
      </c>
      <c r="C25" s="17">
        <v>0</v>
      </c>
      <c r="D25" s="17">
        <v>43191</v>
      </c>
      <c r="E25" s="17">
        <v>43191</v>
      </c>
      <c r="F25" s="17">
        <v>43021</v>
      </c>
      <c r="G25" s="18">
        <v>0.40535772081565274</v>
      </c>
    </row>
    <row r="26" spans="1:7" x14ac:dyDescent="0.2">
      <c r="A26" s="11" t="s">
        <v>131</v>
      </c>
      <c r="B26" s="17">
        <v>116690</v>
      </c>
      <c r="C26" s="17">
        <v>0</v>
      </c>
      <c r="D26" s="17">
        <v>116792</v>
      </c>
      <c r="E26" s="17">
        <v>116792</v>
      </c>
      <c r="F26" s="17">
        <v>116509</v>
      </c>
      <c r="G26" s="18">
        <v>1.0977853302924359</v>
      </c>
    </row>
    <row r="27" spans="1:7" x14ac:dyDescent="0.2">
      <c r="A27" s="11" t="s">
        <v>132</v>
      </c>
      <c r="B27" s="17">
        <v>154250</v>
      </c>
      <c r="C27" s="17">
        <v>0</v>
      </c>
      <c r="D27" s="17">
        <v>158730</v>
      </c>
      <c r="E27" s="17">
        <v>158730</v>
      </c>
      <c r="F27" s="17">
        <v>158108</v>
      </c>
      <c r="G27" s="18">
        <v>1.4897445090239936</v>
      </c>
    </row>
    <row r="28" spans="1:7" x14ac:dyDescent="0.2">
      <c r="A28" s="11" t="s">
        <v>133</v>
      </c>
      <c r="B28" s="17">
        <v>360604</v>
      </c>
      <c r="C28" s="17">
        <v>0</v>
      </c>
      <c r="D28" s="17">
        <v>364348</v>
      </c>
      <c r="E28" s="17">
        <v>364348</v>
      </c>
      <c r="F28" s="17">
        <v>362479</v>
      </c>
      <c r="G28" s="18">
        <v>3.4153939072438342</v>
      </c>
    </row>
    <row r="29" spans="1:7" x14ac:dyDescent="0.2">
      <c r="A29" s="11" t="s">
        <v>134</v>
      </c>
      <c r="B29" s="17">
        <v>127809</v>
      </c>
      <c r="C29" s="17">
        <v>0</v>
      </c>
      <c r="D29" s="17">
        <v>123202</v>
      </c>
      <c r="E29" s="17">
        <v>123202</v>
      </c>
      <c r="F29" s="17">
        <v>122668</v>
      </c>
      <c r="G29" s="18">
        <v>1.1558174123570928</v>
      </c>
    </row>
    <row r="30" spans="1:7" x14ac:dyDescent="0.2">
      <c r="A30" s="11" t="s">
        <v>135</v>
      </c>
      <c r="B30" s="17">
        <v>210014</v>
      </c>
      <c r="C30" s="17">
        <v>0</v>
      </c>
      <c r="D30" s="17">
        <v>219677</v>
      </c>
      <c r="E30" s="17">
        <v>219677</v>
      </c>
      <c r="F30" s="17">
        <v>219148</v>
      </c>
      <c r="G30" s="18">
        <v>2.0648830524931698</v>
      </c>
    </row>
    <row r="31" spans="1:7" x14ac:dyDescent="0.2">
      <c r="A31" s="11" t="s">
        <v>136</v>
      </c>
      <c r="B31" s="17">
        <v>180326</v>
      </c>
      <c r="C31" s="17">
        <v>0</v>
      </c>
      <c r="D31" s="17">
        <v>184226</v>
      </c>
      <c r="E31" s="17">
        <v>184226</v>
      </c>
      <c r="F31" s="17">
        <v>183417</v>
      </c>
      <c r="G31" s="18">
        <v>1.7282140600833216</v>
      </c>
    </row>
    <row r="32" spans="1:7" x14ac:dyDescent="0.2">
      <c r="A32" s="11" t="s">
        <v>137</v>
      </c>
      <c r="B32" s="17">
        <v>36776</v>
      </c>
      <c r="C32" s="17">
        <v>0</v>
      </c>
      <c r="D32" s="17">
        <v>36862</v>
      </c>
      <c r="E32" s="17">
        <v>36862</v>
      </c>
      <c r="F32" s="17">
        <v>36546</v>
      </c>
      <c r="G32" s="18">
        <v>0.34434818495453023</v>
      </c>
    </row>
    <row r="33" spans="1:7" x14ac:dyDescent="0.2">
      <c r="A33" s="11" t="s">
        <v>138</v>
      </c>
      <c r="B33" s="17">
        <v>59018</v>
      </c>
      <c r="C33" s="17">
        <v>0</v>
      </c>
      <c r="D33" s="17">
        <v>59502</v>
      </c>
      <c r="E33" s="17">
        <v>59502</v>
      </c>
      <c r="F33" s="17">
        <v>59115</v>
      </c>
      <c r="G33" s="18">
        <v>0.55700057334830222</v>
      </c>
    </row>
    <row r="34" spans="1:7" x14ac:dyDescent="0.2">
      <c r="A34" s="11" t="s">
        <v>139</v>
      </c>
      <c r="B34" s="17">
        <v>41019</v>
      </c>
      <c r="C34" s="17">
        <v>0</v>
      </c>
      <c r="D34" s="17">
        <v>41656</v>
      </c>
      <c r="E34" s="17">
        <v>41656</v>
      </c>
      <c r="F34" s="17">
        <v>41112</v>
      </c>
      <c r="G34" s="18">
        <v>0.38737050784902988</v>
      </c>
    </row>
    <row r="35" spans="1:7" x14ac:dyDescent="0.2">
      <c r="A35" s="11" t="s">
        <v>140</v>
      </c>
      <c r="B35" s="17">
        <v>20472</v>
      </c>
      <c r="C35" s="17">
        <v>0</v>
      </c>
      <c r="D35" s="17">
        <v>20776</v>
      </c>
      <c r="E35" s="17">
        <v>20776</v>
      </c>
      <c r="F35" s="17">
        <v>20723</v>
      </c>
      <c r="G35" s="18">
        <v>0.19525878172201416</v>
      </c>
    </row>
    <row r="36" spans="1:7" x14ac:dyDescent="0.2">
      <c r="A36" s="11" t="s">
        <v>141</v>
      </c>
      <c r="B36" s="17">
        <v>178713</v>
      </c>
      <c r="C36" s="17">
        <v>0</v>
      </c>
      <c r="D36" s="17">
        <v>187392</v>
      </c>
      <c r="E36" s="17">
        <v>187392</v>
      </c>
      <c r="F36" s="17">
        <v>186399</v>
      </c>
      <c r="G36" s="18">
        <v>1.7563114247069305</v>
      </c>
    </row>
    <row r="37" spans="1:7" x14ac:dyDescent="0.2">
      <c r="A37" s="11" t="s">
        <v>142</v>
      </c>
      <c r="B37" s="17">
        <v>73767</v>
      </c>
      <c r="C37" s="17">
        <v>0</v>
      </c>
      <c r="D37" s="17">
        <v>75392</v>
      </c>
      <c r="E37" s="17">
        <v>75392</v>
      </c>
      <c r="F37" s="17">
        <v>75160</v>
      </c>
      <c r="G37" s="18">
        <v>0.70818173209605684</v>
      </c>
    </row>
    <row r="38" spans="1:7" x14ac:dyDescent="0.2">
      <c r="A38" s="11" t="s">
        <v>143</v>
      </c>
      <c r="B38" s="17">
        <v>592047</v>
      </c>
      <c r="C38" s="17">
        <v>0</v>
      </c>
      <c r="D38" s="17">
        <v>617946</v>
      </c>
      <c r="E38" s="17">
        <v>617946</v>
      </c>
      <c r="F38" s="17">
        <v>615451</v>
      </c>
      <c r="G38" s="18">
        <v>5.7989775838245112</v>
      </c>
    </row>
    <row r="39" spans="1:7" x14ac:dyDescent="0.2">
      <c r="A39" s="11" t="s">
        <v>144</v>
      </c>
      <c r="B39" s="17">
        <v>226397</v>
      </c>
      <c r="C39" s="17">
        <v>0</v>
      </c>
      <c r="D39" s="17">
        <v>233964</v>
      </c>
      <c r="E39" s="17">
        <v>233964</v>
      </c>
      <c r="F39" s="17">
        <v>231909</v>
      </c>
      <c r="G39" s="18">
        <v>2.1851213053308203</v>
      </c>
    </row>
    <row r="40" spans="1:7" x14ac:dyDescent="0.2">
      <c r="A40" s="11" t="s">
        <v>145</v>
      </c>
      <c r="B40" s="17">
        <v>24074</v>
      </c>
      <c r="C40" s="17">
        <v>0</v>
      </c>
      <c r="D40" s="17">
        <v>24705</v>
      </c>
      <c r="E40" s="17">
        <v>24705</v>
      </c>
      <c r="F40" s="17">
        <v>24643</v>
      </c>
      <c r="G40" s="18">
        <v>0.23219428451361265</v>
      </c>
    </row>
    <row r="41" spans="1:7" x14ac:dyDescent="0.2">
      <c r="A41" s="11" t="s">
        <v>146</v>
      </c>
      <c r="B41" s="17">
        <v>368200</v>
      </c>
      <c r="C41" s="17">
        <v>0</v>
      </c>
      <c r="D41" s="17">
        <v>376747</v>
      </c>
      <c r="E41" s="17">
        <v>376747</v>
      </c>
      <c r="F41" s="17">
        <v>375301</v>
      </c>
      <c r="G41" s="18">
        <v>3.536206921732068</v>
      </c>
    </row>
    <row r="42" spans="1:7" x14ac:dyDescent="0.2">
      <c r="A42" s="11" t="s">
        <v>147</v>
      </c>
      <c r="B42" s="17">
        <v>129917</v>
      </c>
      <c r="C42" s="17">
        <v>0</v>
      </c>
      <c r="D42" s="17">
        <v>135464</v>
      </c>
      <c r="E42" s="17">
        <v>135464</v>
      </c>
      <c r="F42" s="17">
        <v>134172</v>
      </c>
      <c r="G42" s="18">
        <v>1.2642118062638656</v>
      </c>
    </row>
    <row r="43" spans="1:7" x14ac:dyDescent="0.2">
      <c r="A43" s="11" t="s">
        <v>148</v>
      </c>
      <c r="B43" s="17">
        <v>107057</v>
      </c>
      <c r="C43" s="17">
        <v>0</v>
      </c>
      <c r="D43" s="17">
        <v>104575</v>
      </c>
      <c r="E43" s="17">
        <v>104575</v>
      </c>
      <c r="F43" s="17">
        <v>104032</v>
      </c>
      <c r="G43" s="18">
        <v>0.9802230169427486</v>
      </c>
    </row>
    <row r="44" spans="1:7" x14ac:dyDescent="0.2">
      <c r="A44" s="11" t="s">
        <v>149</v>
      </c>
      <c r="B44" s="17">
        <v>343775</v>
      </c>
      <c r="C44" s="17">
        <v>0</v>
      </c>
      <c r="D44" s="17">
        <v>351890</v>
      </c>
      <c r="E44" s="17">
        <v>351890</v>
      </c>
      <c r="F44" s="17">
        <v>350083</v>
      </c>
      <c r="G44" s="18">
        <v>3.2985948019875448</v>
      </c>
    </row>
    <row r="45" spans="1:7" x14ac:dyDescent="0.2">
      <c r="A45" s="11" t="s">
        <v>150</v>
      </c>
      <c r="B45" s="17">
        <v>33775</v>
      </c>
      <c r="C45" s="17">
        <v>0</v>
      </c>
      <c r="D45" s="17">
        <v>34031</v>
      </c>
      <c r="E45" s="17">
        <v>34031</v>
      </c>
      <c r="F45" s="17">
        <v>33902</v>
      </c>
      <c r="G45" s="18">
        <v>0.31943556521448269</v>
      </c>
    </row>
    <row r="46" spans="1:7" x14ac:dyDescent="0.2">
      <c r="A46" s="11" t="s">
        <v>151</v>
      </c>
      <c r="B46" s="17">
        <v>125026</v>
      </c>
      <c r="C46" s="17">
        <v>0</v>
      </c>
      <c r="D46" s="17">
        <v>128397</v>
      </c>
      <c r="E46" s="17">
        <v>128397</v>
      </c>
      <c r="F46" s="17">
        <v>127692</v>
      </c>
      <c r="G46" s="18">
        <v>1.2031551587920395</v>
      </c>
    </row>
    <row r="47" spans="1:7" x14ac:dyDescent="0.2">
      <c r="A47" s="11" t="s">
        <v>152</v>
      </c>
      <c r="B47" s="17">
        <v>27810</v>
      </c>
      <c r="C47" s="17">
        <v>0</v>
      </c>
      <c r="D47" s="17">
        <v>28127</v>
      </c>
      <c r="E47" s="17">
        <v>28127</v>
      </c>
      <c r="F47" s="17">
        <v>28066</v>
      </c>
      <c r="G47" s="18">
        <v>0.26444689320127635</v>
      </c>
    </row>
    <row r="48" spans="1:7" x14ac:dyDescent="0.2">
      <c r="A48" s="11" t="s">
        <v>153</v>
      </c>
      <c r="B48" s="17">
        <v>178918</v>
      </c>
      <c r="C48" s="17">
        <v>0</v>
      </c>
      <c r="D48" s="17">
        <v>180745</v>
      </c>
      <c r="E48" s="17">
        <v>180745</v>
      </c>
      <c r="F48" s="17">
        <v>179982</v>
      </c>
      <c r="G48" s="18">
        <v>1.6958483835299694</v>
      </c>
    </row>
    <row r="49" spans="1:7" x14ac:dyDescent="0.2">
      <c r="A49" s="11" t="s">
        <v>154</v>
      </c>
      <c r="B49" s="17">
        <v>675897</v>
      </c>
      <c r="C49" s="17">
        <v>0</v>
      </c>
      <c r="D49" s="17">
        <v>701872</v>
      </c>
      <c r="E49" s="17">
        <v>701872</v>
      </c>
      <c r="F49" s="17">
        <v>698547</v>
      </c>
      <c r="G49" s="18">
        <v>6.5819348644292734</v>
      </c>
    </row>
    <row r="50" spans="1:7" x14ac:dyDescent="0.2">
      <c r="A50" s="11" t="s">
        <v>155</v>
      </c>
      <c r="B50" s="17">
        <v>76789</v>
      </c>
      <c r="C50" s="17">
        <v>0</v>
      </c>
      <c r="D50" s="17">
        <v>73243</v>
      </c>
      <c r="E50" s="17">
        <v>73243</v>
      </c>
      <c r="F50" s="17">
        <v>72955</v>
      </c>
      <c r="G50" s="18">
        <v>0.68740551177578268</v>
      </c>
    </row>
    <row r="51" spans="1:7" x14ac:dyDescent="0.2">
      <c r="A51" s="11" t="s">
        <v>156</v>
      </c>
      <c r="B51" s="17">
        <v>24996</v>
      </c>
      <c r="C51" s="17">
        <v>0</v>
      </c>
      <c r="D51" s="17">
        <v>23612</v>
      </c>
      <c r="E51" s="17">
        <v>23612</v>
      </c>
      <c r="F51" s="17">
        <v>23461</v>
      </c>
      <c r="G51" s="18">
        <v>0.22105709974328883</v>
      </c>
    </row>
    <row r="52" spans="1:7" x14ac:dyDescent="0.2">
      <c r="A52" s="11" t="s">
        <v>157</v>
      </c>
      <c r="B52" s="17">
        <v>141691</v>
      </c>
      <c r="C52" s="17">
        <v>0</v>
      </c>
      <c r="D52" s="17">
        <v>147617</v>
      </c>
      <c r="E52" s="17">
        <v>147617</v>
      </c>
      <c r="F52" s="17">
        <v>147018</v>
      </c>
      <c r="G52" s="18">
        <v>1.3852509564834763</v>
      </c>
    </row>
    <row r="53" spans="1:7" x14ac:dyDescent="0.2">
      <c r="A53" s="11" t="s">
        <v>158</v>
      </c>
      <c r="B53" s="17">
        <v>173889</v>
      </c>
      <c r="C53" s="17">
        <v>0</v>
      </c>
      <c r="D53" s="17">
        <v>171426</v>
      </c>
      <c r="E53" s="17">
        <v>171426</v>
      </c>
      <c r="F53" s="17">
        <v>170668</v>
      </c>
      <c r="G53" s="18">
        <v>1.60808887511136</v>
      </c>
    </row>
    <row r="54" spans="1:7" x14ac:dyDescent="0.2">
      <c r="A54" s="11" t="s">
        <v>159</v>
      </c>
      <c r="B54" s="17">
        <v>72413</v>
      </c>
      <c r="C54" s="17">
        <v>0</v>
      </c>
      <c r="D54" s="17">
        <v>73924</v>
      </c>
      <c r="E54" s="17">
        <v>73924</v>
      </c>
      <c r="F54" s="17">
        <v>73713</v>
      </c>
      <c r="G54" s="18">
        <v>0.69454763195844382</v>
      </c>
    </row>
    <row r="55" spans="1:7" x14ac:dyDescent="0.2">
      <c r="A55" s="11" t="s">
        <v>160</v>
      </c>
      <c r="B55" s="17">
        <v>151144</v>
      </c>
      <c r="C55" s="17">
        <v>0</v>
      </c>
      <c r="D55" s="17">
        <v>149965</v>
      </c>
      <c r="E55" s="17">
        <v>149965</v>
      </c>
      <c r="F55" s="17">
        <v>149175</v>
      </c>
      <c r="G55" s="18">
        <v>1.4055749053409963</v>
      </c>
    </row>
    <row r="56" spans="1:7" x14ac:dyDescent="0.2">
      <c r="A56" s="11" t="s">
        <v>161</v>
      </c>
      <c r="B56" s="17">
        <v>21439</v>
      </c>
      <c r="C56" s="17">
        <v>0</v>
      </c>
      <c r="D56" s="17">
        <v>20851</v>
      </c>
      <c r="E56" s="17">
        <v>20851</v>
      </c>
      <c r="F56" s="17">
        <v>20791</v>
      </c>
      <c r="G56" s="18">
        <v>0.19589949962758271</v>
      </c>
    </row>
    <row r="57" spans="1:7" x14ac:dyDescent="0.2">
      <c r="A57" s="11" t="s">
        <v>162</v>
      </c>
      <c r="B57" s="17">
        <v>4072</v>
      </c>
      <c r="C57" s="17">
        <v>0</v>
      </c>
      <c r="D57" s="17">
        <v>4145</v>
      </c>
      <c r="E57" s="17">
        <v>4145</v>
      </c>
      <c r="F57" s="17">
        <v>4145</v>
      </c>
      <c r="G57" s="18">
        <v>3.9055525273259117E-2</v>
      </c>
    </row>
    <row r="58" spans="1:7" x14ac:dyDescent="0.2">
      <c r="A58" s="11" t="s">
        <v>163</v>
      </c>
      <c r="B58" s="17">
        <v>3838</v>
      </c>
      <c r="C58" s="17">
        <v>0</v>
      </c>
      <c r="D58" s="17">
        <v>3645</v>
      </c>
      <c r="E58" s="17">
        <v>3645</v>
      </c>
      <c r="F58" s="17">
        <v>3645</v>
      </c>
      <c r="G58" s="18">
        <v>3.434436420290217E-2</v>
      </c>
    </row>
    <row r="59" spans="1:7" x14ac:dyDescent="0.2">
      <c r="A59" s="11" t="s">
        <v>164</v>
      </c>
      <c r="B59" s="17">
        <v>3425</v>
      </c>
      <c r="C59" s="17">
        <v>0</v>
      </c>
      <c r="D59" s="17">
        <v>3588</v>
      </c>
      <c r="E59" s="17">
        <v>3588</v>
      </c>
      <c r="F59" s="17">
        <v>3524</v>
      </c>
      <c r="G59" s="18">
        <v>3.3204263223875791E-2</v>
      </c>
    </row>
    <row r="60" spans="1:7" x14ac:dyDescent="0.2">
      <c r="A60" s="11" t="s">
        <v>165</v>
      </c>
      <c r="B60" s="17">
        <v>309915</v>
      </c>
      <c r="C60" s="17">
        <v>0</v>
      </c>
      <c r="D60" s="17">
        <v>323534</v>
      </c>
      <c r="E60" s="17">
        <v>323534</v>
      </c>
      <c r="F60" s="17">
        <v>322844</v>
      </c>
      <c r="G60" s="18">
        <v>3.0419401691966388</v>
      </c>
    </row>
    <row r="61" spans="1:7" x14ac:dyDescent="0.2">
      <c r="A61" s="11" t="s">
        <v>166</v>
      </c>
      <c r="B61" s="17">
        <v>0</v>
      </c>
      <c r="C61" s="17">
        <v>0</v>
      </c>
      <c r="D61" s="17">
        <v>0</v>
      </c>
      <c r="E61" s="17">
        <v>0</v>
      </c>
      <c r="F61" s="17">
        <v>0</v>
      </c>
      <c r="G61" s="18">
        <v>0</v>
      </c>
    </row>
    <row r="62" spans="1:7" x14ac:dyDescent="0.2">
      <c r="A62" s="11" t="s">
        <v>167</v>
      </c>
      <c r="B62" s="17">
        <v>10321</v>
      </c>
      <c r="C62" s="17">
        <v>0</v>
      </c>
      <c r="D62" s="17">
        <v>10827</v>
      </c>
      <c r="E62" s="17">
        <v>10827</v>
      </c>
      <c r="F62" s="17">
        <v>10827</v>
      </c>
      <c r="G62" s="18">
        <v>0.10201548181750941</v>
      </c>
    </row>
    <row r="63" spans="1:7" x14ac:dyDescent="0.2">
      <c r="A63" s="11" t="s">
        <v>168</v>
      </c>
      <c r="B63" s="17">
        <v>320491</v>
      </c>
      <c r="C63" s="17">
        <v>0</v>
      </c>
      <c r="D63" s="17">
        <v>310472</v>
      </c>
      <c r="E63" s="17">
        <v>310472</v>
      </c>
      <c r="F63" s="17">
        <v>308960</v>
      </c>
      <c r="G63" s="18">
        <v>2.911120648594967</v>
      </c>
    </row>
    <row r="64" spans="1:7" x14ac:dyDescent="0.2">
      <c r="A64" s="11" t="s">
        <v>169</v>
      </c>
      <c r="B64" s="17">
        <v>0</v>
      </c>
      <c r="C64" s="17">
        <v>0</v>
      </c>
      <c r="D64" s="17">
        <v>0</v>
      </c>
      <c r="E64" s="17">
        <v>0</v>
      </c>
      <c r="F64" s="17">
        <v>0</v>
      </c>
      <c r="G64" s="18">
        <v>0</v>
      </c>
    </row>
    <row r="65" spans="1:7" x14ac:dyDescent="0.2">
      <c r="A65" s="11" t="s">
        <v>259</v>
      </c>
      <c r="B65" s="17">
        <v>458775</v>
      </c>
      <c r="C65" s="17">
        <v>0</v>
      </c>
      <c r="D65" s="17">
        <v>454312</v>
      </c>
      <c r="E65" s="17">
        <v>454312</v>
      </c>
      <c r="F65" s="17">
        <v>452508</v>
      </c>
      <c r="G65" s="18">
        <v>4.2636761472501661</v>
      </c>
    </row>
    <row r="66" spans="1:7" x14ac:dyDescent="0.2">
      <c r="A66" s="11" t="s">
        <v>260</v>
      </c>
      <c r="B66" s="17">
        <v>0</v>
      </c>
      <c r="C66" s="17">
        <v>0</v>
      </c>
      <c r="D66" s="17">
        <v>0</v>
      </c>
      <c r="E66" s="17">
        <v>0</v>
      </c>
      <c r="F66" s="17">
        <v>0</v>
      </c>
      <c r="G66" s="18">
        <v>0</v>
      </c>
    </row>
    <row r="67" spans="1:7" x14ac:dyDescent="0.2">
      <c r="A67" s="11" t="s">
        <v>261</v>
      </c>
      <c r="B67" s="17">
        <v>1759</v>
      </c>
      <c r="C67" s="17">
        <v>0</v>
      </c>
      <c r="D67" s="17">
        <v>1845</v>
      </c>
      <c r="E67" s="17">
        <v>1845</v>
      </c>
      <c r="F67" s="17">
        <v>1845</v>
      </c>
      <c r="G67" s="18">
        <v>1.7384184349617148E-2</v>
      </c>
    </row>
    <row r="68" spans="1:7" x14ac:dyDescent="0.2">
      <c r="A68" s="11" t="s">
        <v>262</v>
      </c>
      <c r="B68" s="17">
        <v>238392</v>
      </c>
      <c r="C68" s="17">
        <v>0</v>
      </c>
      <c r="D68" s="17">
        <v>247679</v>
      </c>
      <c r="E68" s="17">
        <v>247679</v>
      </c>
      <c r="F68" s="17">
        <v>247679</v>
      </c>
      <c r="G68" s="18">
        <v>2.3337113254898783</v>
      </c>
    </row>
    <row r="69" spans="1:7" x14ac:dyDescent="0.2">
      <c r="A69" s="11" t="s">
        <v>263</v>
      </c>
      <c r="B69" s="17">
        <v>25000</v>
      </c>
      <c r="C69" s="17">
        <v>0</v>
      </c>
      <c r="D69" s="17">
        <v>125000</v>
      </c>
      <c r="E69" s="17">
        <v>125000</v>
      </c>
      <c r="F69" s="17">
        <v>125000</v>
      </c>
      <c r="G69" s="18">
        <v>1.1777902675892375</v>
      </c>
    </row>
    <row r="70" spans="1:7" x14ac:dyDescent="0.2">
      <c r="A70" s="11" t="s">
        <v>184</v>
      </c>
      <c r="B70" s="17">
        <v>100953</v>
      </c>
      <c r="C70" s="17">
        <v>0</v>
      </c>
      <c r="D70" s="17">
        <v>117022</v>
      </c>
      <c r="E70" s="17">
        <v>117022</v>
      </c>
      <c r="F70" s="17">
        <v>108694</v>
      </c>
      <c r="G70" s="18">
        <v>1.0241498827627569</v>
      </c>
    </row>
    <row r="71" spans="1:7" ht="15" customHeight="1" x14ac:dyDescent="0.2">
      <c r="A71" s="19" t="s">
        <v>110</v>
      </c>
      <c r="B71" s="24" t="s">
        <v>473</v>
      </c>
      <c r="C71" s="20">
        <f>0+0+0+0+0+0+0+0+0+0+0+0+0+0+0+0+0+0+0+0+0+0+0+0+0+0+0+0+0+0+0+0+0+0+0+0+0+0+0+0+0+0+0+0+0+0+0+0+0+0+0+0+0+0+0+0+0+0+0+0+0+0+0+0+0+0</f>
        <v>0</v>
      </c>
      <c r="D71" s="20">
        <f>153337+19692+172030+106614+1300718+116142+72438+21354+38535+433780+254575+30958+39507+399893+154972+79868+79700+178920+205290+43191+116792+158730+364348+123202+219677+184226+36862+59502+41656+20776+187392+75392+617946+233964+24705+376747+135464+104575+351890+34031+128397+28127+180745+701872+73243+23612+147617+171426+73924+149965+20851+4145+3645+3588+323534+0+10827+310472+0+454312+0+1845+247679+125000+117022+0</f>
        <v>10671239</v>
      </c>
      <c r="E71" s="24" t="s">
        <v>474</v>
      </c>
      <c r="F71" s="24" t="s">
        <v>475</v>
      </c>
      <c r="G71" s="21" t="s">
        <v>452</v>
      </c>
    </row>
    <row r="72" spans="1:7" ht="15" customHeight="1" x14ac:dyDescent="0.2">
      <c r="A72" s="74" t="s">
        <v>171</v>
      </c>
      <c r="B72" s="74"/>
      <c r="C72" s="74"/>
      <c r="D72" s="74"/>
      <c r="E72" s="74"/>
      <c r="F72" s="74"/>
      <c r="G72" s="74"/>
    </row>
    <row r="73" spans="1:7" ht="15" customHeight="1" x14ac:dyDescent="0.2">
      <c r="A73" s="67" t="s">
        <v>472</v>
      </c>
      <c r="B73" s="67"/>
      <c r="C73" s="67"/>
      <c r="D73" s="67"/>
      <c r="E73" s="67"/>
      <c r="F73" s="67"/>
      <c r="G73" s="67"/>
    </row>
    <row r="74" spans="1:7" ht="15" customHeight="1" x14ac:dyDescent="0.2">
      <c r="A74" s="67" t="s">
        <v>476</v>
      </c>
      <c r="B74" s="67"/>
      <c r="C74" s="67"/>
      <c r="D74" s="67"/>
      <c r="E74" s="67"/>
      <c r="F74" s="67"/>
      <c r="G74" s="67"/>
    </row>
    <row r="75" spans="1:7" ht="32.25" customHeight="1" x14ac:dyDescent="0.2">
      <c r="A75" s="67" t="s">
        <v>477</v>
      </c>
      <c r="B75" s="67"/>
      <c r="C75" s="67"/>
      <c r="D75" s="67"/>
      <c r="E75" s="67"/>
      <c r="F75" s="67"/>
      <c r="G75" s="67"/>
    </row>
    <row r="76" spans="1:7" ht="15" customHeight="1" x14ac:dyDescent="0.2">
      <c r="A76" s="67" t="s">
        <v>451</v>
      </c>
      <c r="B76" s="67"/>
      <c r="C76" s="67"/>
      <c r="D76" s="67"/>
      <c r="E76" s="67"/>
      <c r="F76" s="67"/>
      <c r="G76" s="67"/>
    </row>
  </sheetData>
  <mergeCells count="9">
    <mergeCell ref="A75:G75"/>
    <mergeCell ref="A73:G73"/>
    <mergeCell ref="A76:G76"/>
    <mergeCell ref="A4:A5"/>
    <mergeCell ref="B4:B5"/>
    <mergeCell ref="F4:F5"/>
    <mergeCell ref="G4:G5"/>
    <mergeCell ref="A72:G72"/>
    <mergeCell ref="A74:G7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74"/>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276</v>
      </c>
    </row>
    <row r="2" spans="1:7" x14ac:dyDescent="0.2">
      <c r="A2" s="13" t="s">
        <v>277</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37071</v>
      </c>
      <c r="C6" s="17">
        <v>0</v>
      </c>
      <c r="D6" s="17">
        <v>39433</v>
      </c>
      <c r="E6" s="17">
        <v>39433</v>
      </c>
      <c r="F6" s="17">
        <v>41126</v>
      </c>
      <c r="G6" s="18">
        <v>0.70728441377393658</v>
      </c>
    </row>
    <row r="7" spans="1:7" x14ac:dyDescent="0.2">
      <c r="A7" s="11" t="s">
        <v>112</v>
      </c>
      <c r="B7" s="17">
        <v>24481</v>
      </c>
      <c r="C7" s="17">
        <v>0</v>
      </c>
      <c r="D7" s="17">
        <v>26041</v>
      </c>
      <c r="E7" s="17">
        <v>26041</v>
      </c>
      <c r="F7" s="17">
        <v>27159</v>
      </c>
      <c r="G7" s="18">
        <v>0.46708012920503683</v>
      </c>
    </row>
    <row r="8" spans="1:7" x14ac:dyDescent="0.2">
      <c r="A8" s="11" t="s">
        <v>113</v>
      </c>
      <c r="B8" s="17">
        <v>182470</v>
      </c>
      <c r="C8" s="17">
        <v>0</v>
      </c>
      <c r="D8" s="17">
        <v>194096</v>
      </c>
      <c r="E8" s="17">
        <v>194096</v>
      </c>
      <c r="F8" s="17">
        <v>202429</v>
      </c>
      <c r="G8" s="18">
        <v>3.4813713124506203</v>
      </c>
    </row>
    <row r="9" spans="1:7" x14ac:dyDescent="0.2">
      <c r="A9" s="11" t="s">
        <v>114</v>
      </c>
      <c r="B9" s="17">
        <v>52005</v>
      </c>
      <c r="C9" s="17">
        <v>0</v>
      </c>
      <c r="D9" s="17">
        <v>55318</v>
      </c>
      <c r="E9" s="17">
        <v>55318</v>
      </c>
      <c r="F9" s="17">
        <v>57693</v>
      </c>
      <c r="G9" s="18">
        <v>0.99220346456887909</v>
      </c>
    </row>
    <row r="10" spans="1:7" x14ac:dyDescent="0.2">
      <c r="A10" s="11" t="s">
        <v>115</v>
      </c>
      <c r="B10" s="17">
        <v>1446179</v>
      </c>
      <c r="C10" s="17">
        <v>0</v>
      </c>
      <c r="D10" s="17">
        <v>1538322</v>
      </c>
      <c r="E10" s="17">
        <v>1538322</v>
      </c>
      <c r="F10" s="17">
        <v>1604364</v>
      </c>
      <c r="G10" s="18">
        <v>27.591831231338034</v>
      </c>
    </row>
    <row r="11" spans="1:7" x14ac:dyDescent="0.2">
      <c r="A11" s="11" t="s">
        <v>116</v>
      </c>
      <c r="B11" s="17">
        <v>88073</v>
      </c>
      <c r="C11" s="17">
        <v>0</v>
      </c>
      <c r="D11" s="17">
        <v>93684</v>
      </c>
      <c r="E11" s="17">
        <v>93684</v>
      </c>
      <c r="F11" s="17">
        <v>97706</v>
      </c>
      <c r="G11" s="18">
        <v>1.6803465188006674</v>
      </c>
    </row>
    <row r="12" spans="1:7" x14ac:dyDescent="0.2">
      <c r="A12" s="11" t="s">
        <v>117</v>
      </c>
      <c r="B12" s="17">
        <v>78561</v>
      </c>
      <c r="C12" s="17">
        <v>0</v>
      </c>
      <c r="D12" s="17">
        <v>83567</v>
      </c>
      <c r="E12" s="17">
        <v>83567</v>
      </c>
      <c r="F12" s="17">
        <v>87155</v>
      </c>
      <c r="G12" s="18">
        <v>1.4988905578579839</v>
      </c>
    </row>
    <row r="13" spans="1:7" x14ac:dyDescent="0.2">
      <c r="A13" s="11" t="s">
        <v>118</v>
      </c>
      <c r="B13" s="17">
        <v>2479</v>
      </c>
      <c r="C13" s="17">
        <v>0</v>
      </c>
      <c r="D13" s="17">
        <v>2637</v>
      </c>
      <c r="E13" s="17">
        <v>2637</v>
      </c>
      <c r="F13" s="17">
        <v>2750</v>
      </c>
      <c r="G13" s="18">
        <v>4.7294464277545245E-2</v>
      </c>
    </row>
    <row r="14" spans="1:7" x14ac:dyDescent="0.2">
      <c r="A14" s="11" t="s">
        <v>119</v>
      </c>
      <c r="B14" s="17">
        <v>39217</v>
      </c>
      <c r="C14" s="17">
        <v>0</v>
      </c>
      <c r="D14" s="17">
        <v>41715</v>
      </c>
      <c r="E14" s="17">
        <v>41715</v>
      </c>
      <c r="F14" s="17">
        <v>43506</v>
      </c>
      <c r="G14" s="18">
        <v>0.74821562285777576</v>
      </c>
    </row>
    <row r="15" spans="1:7" x14ac:dyDescent="0.2">
      <c r="A15" s="11" t="s">
        <v>120</v>
      </c>
      <c r="B15" s="17">
        <v>217837</v>
      </c>
      <c r="C15" s="17">
        <v>0</v>
      </c>
      <c r="D15" s="17">
        <v>231717</v>
      </c>
      <c r="E15" s="17">
        <v>231717</v>
      </c>
      <c r="F15" s="17">
        <v>241665</v>
      </c>
      <c r="G15" s="18">
        <v>4.1561515307756256</v>
      </c>
    </row>
    <row r="16" spans="1:7" x14ac:dyDescent="0.2">
      <c r="A16" s="11" t="s">
        <v>121</v>
      </c>
      <c r="B16" s="17">
        <v>91881</v>
      </c>
      <c r="C16" s="17">
        <v>0</v>
      </c>
      <c r="D16" s="17">
        <v>97735</v>
      </c>
      <c r="E16" s="17">
        <v>97735</v>
      </c>
      <c r="F16" s="17">
        <v>101931</v>
      </c>
      <c r="G16" s="18">
        <v>1.7530080139179869</v>
      </c>
    </row>
    <row r="17" spans="1:7" x14ac:dyDescent="0.2">
      <c r="A17" s="11" t="s">
        <v>122</v>
      </c>
      <c r="B17" s="17">
        <v>30035</v>
      </c>
      <c r="C17" s="17">
        <v>0</v>
      </c>
      <c r="D17" s="17">
        <v>31948</v>
      </c>
      <c r="E17" s="17">
        <v>31948</v>
      </c>
      <c r="F17" s="17">
        <v>33320</v>
      </c>
      <c r="G17" s="18">
        <v>0.57303692717374821</v>
      </c>
    </row>
    <row r="18" spans="1:7" x14ac:dyDescent="0.2">
      <c r="A18" s="11" t="s">
        <v>123</v>
      </c>
      <c r="B18" s="17">
        <v>19820</v>
      </c>
      <c r="C18" s="17">
        <v>0</v>
      </c>
      <c r="D18" s="17">
        <v>21083</v>
      </c>
      <c r="E18" s="17">
        <v>21083</v>
      </c>
      <c r="F18" s="17">
        <v>21988</v>
      </c>
      <c r="G18" s="18">
        <v>0.37814933837624176</v>
      </c>
    </row>
    <row r="19" spans="1:7" x14ac:dyDescent="0.2">
      <c r="A19" s="11" t="s">
        <v>124</v>
      </c>
      <c r="B19" s="17">
        <v>178752</v>
      </c>
      <c r="C19" s="17">
        <v>0</v>
      </c>
      <c r="D19" s="17">
        <v>190141</v>
      </c>
      <c r="E19" s="17">
        <v>190141</v>
      </c>
      <c r="F19" s="17">
        <v>198304</v>
      </c>
      <c r="G19" s="18">
        <v>3.4104296160343024</v>
      </c>
    </row>
    <row r="20" spans="1:7" x14ac:dyDescent="0.2">
      <c r="A20" s="11" t="s">
        <v>125</v>
      </c>
      <c r="B20" s="17">
        <v>103632</v>
      </c>
      <c r="C20" s="17">
        <v>0</v>
      </c>
      <c r="D20" s="17">
        <v>110235</v>
      </c>
      <c r="E20" s="17">
        <v>110235</v>
      </c>
      <c r="F20" s="17">
        <v>114967</v>
      </c>
      <c r="G20" s="18">
        <v>1.9772009725805615</v>
      </c>
    </row>
    <row r="21" spans="1:7" x14ac:dyDescent="0.2">
      <c r="A21" s="11" t="s">
        <v>126</v>
      </c>
      <c r="B21" s="17">
        <v>20369</v>
      </c>
      <c r="C21" s="17">
        <v>0</v>
      </c>
      <c r="D21" s="17">
        <v>21666</v>
      </c>
      <c r="E21" s="17">
        <v>21666</v>
      </c>
      <c r="F21" s="17">
        <v>22596</v>
      </c>
      <c r="G21" s="18">
        <v>0.38860571447833175</v>
      </c>
    </row>
    <row r="22" spans="1:7" x14ac:dyDescent="0.2">
      <c r="A22" s="11" t="s">
        <v>127</v>
      </c>
      <c r="B22" s="17">
        <v>28176</v>
      </c>
      <c r="C22" s="17">
        <v>0</v>
      </c>
      <c r="D22" s="17">
        <v>29972</v>
      </c>
      <c r="E22" s="17">
        <v>29972</v>
      </c>
      <c r="F22" s="17">
        <v>31258</v>
      </c>
      <c r="G22" s="18">
        <v>0.53757467795909419</v>
      </c>
    </row>
    <row r="23" spans="1:7" x14ac:dyDescent="0.2">
      <c r="A23" s="11" t="s">
        <v>128</v>
      </c>
      <c r="B23" s="17">
        <v>54636</v>
      </c>
      <c r="C23" s="17">
        <v>0</v>
      </c>
      <c r="D23" s="17">
        <v>58117</v>
      </c>
      <c r="E23" s="17">
        <v>58117</v>
      </c>
      <c r="F23" s="17">
        <v>60612</v>
      </c>
      <c r="G23" s="18">
        <v>1.0424043886511172</v>
      </c>
    </row>
    <row r="24" spans="1:7" x14ac:dyDescent="0.2">
      <c r="A24" s="11" t="s">
        <v>129</v>
      </c>
      <c r="B24" s="17">
        <v>50205</v>
      </c>
      <c r="C24" s="17">
        <v>0</v>
      </c>
      <c r="D24" s="17">
        <v>53404</v>
      </c>
      <c r="E24" s="17">
        <v>53404</v>
      </c>
      <c r="F24" s="17">
        <v>55697</v>
      </c>
      <c r="G24" s="18">
        <v>0.95787628249688628</v>
      </c>
    </row>
    <row r="25" spans="1:7" x14ac:dyDescent="0.2">
      <c r="A25" s="11" t="s">
        <v>130</v>
      </c>
      <c r="B25" s="17">
        <v>23668</v>
      </c>
      <c r="C25" s="17">
        <v>0</v>
      </c>
      <c r="D25" s="17">
        <v>25176</v>
      </c>
      <c r="E25" s="17">
        <v>25176</v>
      </c>
      <c r="F25" s="17">
        <v>26257</v>
      </c>
      <c r="G25" s="18">
        <v>0.45156754492200196</v>
      </c>
    </row>
    <row r="26" spans="1:7" x14ac:dyDescent="0.2">
      <c r="A26" s="11" t="s">
        <v>131</v>
      </c>
      <c r="B26" s="17">
        <v>71558</v>
      </c>
      <c r="C26" s="17">
        <v>0</v>
      </c>
      <c r="D26" s="17">
        <v>76118</v>
      </c>
      <c r="E26" s="17">
        <v>76118</v>
      </c>
      <c r="F26" s="17">
        <v>79385</v>
      </c>
      <c r="G26" s="18">
        <v>1.3652621987901561</v>
      </c>
    </row>
    <row r="27" spans="1:7" x14ac:dyDescent="0.2">
      <c r="A27" s="11" t="s">
        <v>132</v>
      </c>
      <c r="B27" s="17">
        <v>139715</v>
      </c>
      <c r="C27" s="17">
        <v>0</v>
      </c>
      <c r="D27" s="17">
        <v>148616</v>
      </c>
      <c r="E27" s="17">
        <v>148616</v>
      </c>
      <c r="F27" s="17">
        <v>154997</v>
      </c>
      <c r="G27" s="18">
        <v>2.6656363925915199</v>
      </c>
    </row>
    <row r="28" spans="1:7" x14ac:dyDescent="0.2">
      <c r="A28" s="11" t="s">
        <v>133</v>
      </c>
      <c r="B28" s="17">
        <v>111884</v>
      </c>
      <c r="C28" s="17">
        <v>0</v>
      </c>
      <c r="D28" s="17">
        <v>119013</v>
      </c>
      <c r="E28" s="17">
        <v>119013</v>
      </c>
      <c r="F28" s="17">
        <v>124122</v>
      </c>
      <c r="G28" s="18">
        <v>2.1346485436572622</v>
      </c>
    </row>
    <row r="29" spans="1:7" x14ac:dyDescent="0.2">
      <c r="A29" s="11" t="s">
        <v>134</v>
      </c>
      <c r="B29" s="17">
        <v>54858</v>
      </c>
      <c r="C29" s="17">
        <v>0</v>
      </c>
      <c r="D29" s="17">
        <v>58354</v>
      </c>
      <c r="E29" s="17">
        <v>58354</v>
      </c>
      <c r="F29" s="17">
        <v>60859</v>
      </c>
      <c r="G29" s="18">
        <v>1.0466522914425913</v>
      </c>
    </row>
    <row r="30" spans="1:7" x14ac:dyDescent="0.2">
      <c r="A30" s="11" t="s">
        <v>135</v>
      </c>
      <c r="B30" s="17">
        <v>35419</v>
      </c>
      <c r="C30" s="17">
        <v>0</v>
      </c>
      <c r="D30" s="17">
        <v>37676</v>
      </c>
      <c r="E30" s="17">
        <v>37676</v>
      </c>
      <c r="F30" s="17">
        <v>39294</v>
      </c>
      <c r="G30" s="18">
        <v>0.67577770157158645</v>
      </c>
    </row>
    <row r="31" spans="1:7" x14ac:dyDescent="0.2">
      <c r="A31" s="11" t="s">
        <v>136</v>
      </c>
      <c r="B31" s="17">
        <v>61701</v>
      </c>
      <c r="C31" s="17">
        <v>0</v>
      </c>
      <c r="D31" s="17">
        <v>65632</v>
      </c>
      <c r="E31" s="17">
        <v>65632</v>
      </c>
      <c r="F31" s="17">
        <v>68449</v>
      </c>
      <c r="G31" s="18">
        <v>1.1771850128486161</v>
      </c>
    </row>
    <row r="32" spans="1:7" x14ac:dyDescent="0.2">
      <c r="A32" s="11" t="s">
        <v>137</v>
      </c>
      <c r="B32" s="17">
        <v>12784</v>
      </c>
      <c r="C32" s="17">
        <v>0</v>
      </c>
      <c r="D32" s="17">
        <v>13599</v>
      </c>
      <c r="E32" s="17">
        <v>13599</v>
      </c>
      <c r="F32" s="17">
        <v>14182</v>
      </c>
      <c r="G32" s="18">
        <v>0.24390185177605331</v>
      </c>
    </row>
    <row r="33" spans="1:7" x14ac:dyDescent="0.2">
      <c r="A33" s="11" t="s">
        <v>138</v>
      </c>
      <c r="B33" s="17">
        <v>20103</v>
      </c>
      <c r="C33" s="17">
        <v>0</v>
      </c>
      <c r="D33" s="17">
        <v>21384</v>
      </c>
      <c r="E33" s="17">
        <v>21384</v>
      </c>
      <c r="F33" s="17">
        <v>22302</v>
      </c>
      <c r="G33" s="18">
        <v>0.38354950629738688</v>
      </c>
    </row>
    <row r="34" spans="1:7" x14ac:dyDescent="0.2">
      <c r="A34" s="11" t="s">
        <v>139</v>
      </c>
      <c r="B34" s="17">
        <v>54133</v>
      </c>
      <c r="C34" s="17">
        <v>0</v>
      </c>
      <c r="D34" s="17">
        <v>57582</v>
      </c>
      <c r="E34" s="17">
        <v>57582</v>
      </c>
      <c r="F34" s="17">
        <v>60054</v>
      </c>
      <c r="G34" s="18">
        <v>1.0328079118995279</v>
      </c>
    </row>
    <row r="35" spans="1:7" x14ac:dyDescent="0.2">
      <c r="A35" s="11" t="s">
        <v>140</v>
      </c>
      <c r="B35" s="17">
        <v>15534</v>
      </c>
      <c r="C35" s="17">
        <v>0</v>
      </c>
      <c r="D35" s="17">
        <v>16524</v>
      </c>
      <c r="E35" s="17">
        <v>16524</v>
      </c>
      <c r="F35" s="17">
        <v>17234</v>
      </c>
      <c r="G35" s="18">
        <v>0.29639010813062355</v>
      </c>
    </row>
    <row r="36" spans="1:7" x14ac:dyDescent="0.2">
      <c r="A36" s="11" t="s">
        <v>141</v>
      </c>
      <c r="B36" s="17">
        <v>121068</v>
      </c>
      <c r="C36" s="17">
        <v>0</v>
      </c>
      <c r="D36" s="17">
        <v>128782</v>
      </c>
      <c r="E36" s="17">
        <v>128782</v>
      </c>
      <c r="F36" s="17">
        <v>134311</v>
      </c>
      <c r="G36" s="18">
        <v>2.3098788333023195</v>
      </c>
    </row>
    <row r="37" spans="1:7" x14ac:dyDescent="0.2">
      <c r="A37" s="11" t="s">
        <v>142</v>
      </c>
      <c r="B37" s="17">
        <v>19366</v>
      </c>
      <c r="C37" s="17">
        <v>0</v>
      </c>
      <c r="D37" s="17">
        <v>20600</v>
      </c>
      <c r="E37" s="17">
        <v>20600</v>
      </c>
      <c r="F37" s="17">
        <v>21484</v>
      </c>
      <c r="G37" s="18">
        <v>0.36948155292319346</v>
      </c>
    </row>
    <row r="38" spans="1:7" x14ac:dyDescent="0.2">
      <c r="A38" s="11" t="s">
        <v>143</v>
      </c>
      <c r="B38" s="17">
        <v>369648</v>
      </c>
      <c r="C38" s="17">
        <v>0</v>
      </c>
      <c r="D38" s="17">
        <v>393200</v>
      </c>
      <c r="E38" s="17">
        <v>393200</v>
      </c>
      <c r="F38" s="17">
        <v>410081</v>
      </c>
      <c r="G38" s="18">
        <v>7.0525677110545564</v>
      </c>
    </row>
    <row r="39" spans="1:7" x14ac:dyDescent="0.2">
      <c r="A39" s="11" t="s">
        <v>144</v>
      </c>
      <c r="B39" s="17">
        <v>111976</v>
      </c>
      <c r="C39" s="17">
        <v>0</v>
      </c>
      <c r="D39" s="17">
        <v>119111</v>
      </c>
      <c r="E39" s="17">
        <v>119111</v>
      </c>
      <c r="F39" s="17">
        <v>124225</v>
      </c>
      <c r="G39" s="18">
        <v>2.1364199363192937</v>
      </c>
    </row>
    <row r="40" spans="1:7" x14ac:dyDescent="0.2">
      <c r="A40" s="11" t="s">
        <v>145</v>
      </c>
      <c r="B40" s="17">
        <v>13923</v>
      </c>
      <c r="C40" s="17">
        <v>0</v>
      </c>
      <c r="D40" s="17">
        <v>14810</v>
      </c>
      <c r="E40" s="17">
        <v>14810</v>
      </c>
      <c r="F40" s="17">
        <v>15446</v>
      </c>
      <c r="G40" s="18">
        <v>0.26564010735671412</v>
      </c>
    </row>
    <row r="41" spans="1:7" x14ac:dyDescent="0.2">
      <c r="A41" s="11" t="s">
        <v>146</v>
      </c>
      <c r="B41" s="17">
        <v>182910</v>
      </c>
      <c r="C41" s="17">
        <v>0</v>
      </c>
      <c r="D41" s="17">
        <v>194564</v>
      </c>
      <c r="E41" s="17">
        <v>194564</v>
      </c>
      <c r="F41" s="17">
        <v>202917</v>
      </c>
      <c r="G41" s="18">
        <v>3.4897639301115082</v>
      </c>
    </row>
    <row r="42" spans="1:7" x14ac:dyDescent="0.2">
      <c r="A42" s="11" t="s">
        <v>147</v>
      </c>
      <c r="B42" s="17">
        <v>69887</v>
      </c>
      <c r="C42" s="17">
        <v>0</v>
      </c>
      <c r="D42" s="17">
        <v>74340</v>
      </c>
      <c r="E42" s="17">
        <v>74340</v>
      </c>
      <c r="F42" s="17">
        <v>77531</v>
      </c>
      <c r="G42" s="18">
        <v>1.3333771308735856</v>
      </c>
    </row>
    <row r="43" spans="1:7" x14ac:dyDescent="0.2">
      <c r="A43" s="11" t="s">
        <v>148</v>
      </c>
      <c r="B43" s="17">
        <v>97734</v>
      </c>
      <c r="C43" s="17">
        <v>0</v>
      </c>
      <c r="D43" s="17">
        <v>103961</v>
      </c>
      <c r="E43" s="17">
        <v>103961</v>
      </c>
      <c r="F43" s="17">
        <v>108424</v>
      </c>
      <c r="G43" s="18">
        <v>1.8646745435740237</v>
      </c>
    </row>
    <row r="44" spans="1:7" x14ac:dyDescent="0.2">
      <c r="A44" s="11" t="s">
        <v>149</v>
      </c>
      <c r="B44" s="17">
        <v>168600</v>
      </c>
      <c r="C44" s="17">
        <v>0</v>
      </c>
      <c r="D44" s="17">
        <v>179342</v>
      </c>
      <c r="E44" s="17">
        <v>179342</v>
      </c>
      <c r="F44" s="17">
        <v>187042</v>
      </c>
      <c r="G44" s="18">
        <v>3.2167458863274971</v>
      </c>
    </row>
    <row r="45" spans="1:7" x14ac:dyDescent="0.2">
      <c r="A45" s="11" t="s">
        <v>150</v>
      </c>
      <c r="B45" s="17">
        <v>12229</v>
      </c>
      <c r="C45" s="17">
        <v>0</v>
      </c>
      <c r="D45" s="17">
        <v>13008</v>
      </c>
      <c r="E45" s="17">
        <v>13008</v>
      </c>
      <c r="F45" s="17">
        <v>13567</v>
      </c>
      <c r="G45" s="18">
        <v>0.23332508976489319</v>
      </c>
    </row>
    <row r="46" spans="1:7" x14ac:dyDescent="0.2">
      <c r="A46" s="11" t="s">
        <v>151</v>
      </c>
      <c r="B46" s="17">
        <v>42269</v>
      </c>
      <c r="C46" s="17">
        <v>0</v>
      </c>
      <c r="D46" s="17">
        <v>44962</v>
      </c>
      <c r="E46" s="17">
        <v>44962</v>
      </c>
      <c r="F46" s="17">
        <v>46892</v>
      </c>
      <c r="G46" s="18">
        <v>0.80644800687369145</v>
      </c>
    </row>
    <row r="47" spans="1:7" x14ac:dyDescent="0.2">
      <c r="A47" s="11" t="s">
        <v>152</v>
      </c>
      <c r="B47" s="17">
        <v>7392</v>
      </c>
      <c r="C47" s="17">
        <v>0</v>
      </c>
      <c r="D47" s="17">
        <v>7863</v>
      </c>
      <c r="E47" s="17">
        <v>7863</v>
      </c>
      <c r="F47" s="17">
        <v>8201</v>
      </c>
      <c r="G47" s="18">
        <v>0.14104069146914491</v>
      </c>
    </row>
    <row r="48" spans="1:7" x14ac:dyDescent="0.2">
      <c r="A48" s="11" t="s">
        <v>153</v>
      </c>
      <c r="B48" s="17">
        <v>61197</v>
      </c>
      <c r="C48" s="17">
        <v>0</v>
      </c>
      <c r="D48" s="17">
        <v>65097</v>
      </c>
      <c r="E48" s="17">
        <v>65097</v>
      </c>
      <c r="F48" s="17">
        <v>67891</v>
      </c>
      <c r="G48" s="18">
        <v>1.1675885360970268</v>
      </c>
    </row>
    <row r="49" spans="1:7" x14ac:dyDescent="0.2">
      <c r="A49" s="11" t="s">
        <v>154</v>
      </c>
      <c r="B49" s="17">
        <v>217839</v>
      </c>
      <c r="C49" s="17">
        <v>0</v>
      </c>
      <c r="D49" s="17">
        <v>231718</v>
      </c>
      <c r="E49" s="17">
        <v>231718</v>
      </c>
      <c r="F49" s="17">
        <v>241666</v>
      </c>
      <c r="G49" s="18">
        <v>4.1561687287626361</v>
      </c>
    </row>
    <row r="50" spans="1:7" x14ac:dyDescent="0.2">
      <c r="A50" s="11" t="s">
        <v>155</v>
      </c>
      <c r="B50" s="17">
        <v>28383</v>
      </c>
      <c r="C50" s="17">
        <v>0</v>
      </c>
      <c r="D50" s="17">
        <v>30191</v>
      </c>
      <c r="E50" s="17">
        <v>30191</v>
      </c>
      <c r="F50" s="17">
        <v>31487</v>
      </c>
      <c r="G50" s="18">
        <v>0.54151301698438803</v>
      </c>
    </row>
    <row r="51" spans="1:7" x14ac:dyDescent="0.2">
      <c r="A51" s="11" t="s">
        <v>156</v>
      </c>
      <c r="B51" s="17">
        <v>11582</v>
      </c>
      <c r="C51" s="17">
        <v>0</v>
      </c>
      <c r="D51" s="17">
        <v>12320</v>
      </c>
      <c r="E51" s="17">
        <v>12320</v>
      </c>
      <c r="F51" s="17">
        <v>12849</v>
      </c>
      <c r="G51" s="18">
        <v>0.22097693509170138</v>
      </c>
    </row>
    <row r="52" spans="1:7" x14ac:dyDescent="0.2">
      <c r="A52" s="11" t="s">
        <v>157</v>
      </c>
      <c r="B52" s="17">
        <v>65434</v>
      </c>
      <c r="C52" s="17">
        <v>0</v>
      </c>
      <c r="D52" s="17">
        <v>69603</v>
      </c>
      <c r="E52" s="17">
        <v>69603</v>
      </c>
      <c r="F52" s="17">
        <v>72591</v>
      </c>
      <c r="G52" s="18">
        <v>1.2484190750441042</v>
      </c>
    </row>
    <row r="53" spans="1:7" x14ac:dyDescent="0.2">
      <c r="A53" s="11" t="s">
        <v>158</v>
      </c>
      <c r="B53" s="17">
        <v>93879</v>
      </c>
      <c r="C53" s="17">
        <v>0</v>
      </c>
      <c r="D53" s="17">
        <v>99861</v>
      </c>
      <c r="E53" s="17">
        <v>99861</v>
      </c>
      <c r="F53" s="17">
        <v>104148</v>
      </c>
      <c r="G53" s="18">
        <v>1.7911359511191933</v>
      </c>
    </row>
    <row r="54" spans="1:7" x14ac:dyDescent="0.2">
      <c r="A54" s="11" t="s">
        <v>159</v>
      </c>
      <c r="B54" s="17">
        <v>54514</v>
      </c>
      <c r="C54" s="17">
        <v>0</v>
      </c>
      <c r="D54" s="17">
        <v>57988</v>
      </c>
      <c r="E54" s="17">
        <v>57988</v>
      </c>
      <c r="F54" s="17">
        <v>60477</v>
      </c>
      <c r="G54" s="18">
        <v>1.040082660404765</v>
      </c>
    </row>
    <row r="55" spans="1:7" x14ac:dyDescent="0.2">
      <c r="A55" s="11" t="s">
        <v>160</v>
      </c>
      <c r="B55" s="17">
        <v>70448</v>
      </c>
      <c r="C55" s="17">
        <v>0</v>
      </c>
      <c r="D55" s="17">
        <v>74936</v>
      </c>
      <c r="E55" s="17">
        <v>74936</v>
      </c>
      <c r="F55" s="17">
        <v>78153</v>
      </c>
      <c r="G55" s="18">
        <v>1.3440742787938158</v>
      </c>
    </row>
    <row r="56" spans="1:7" x14ac:dyDescent="0.2">
      <c r="A56" s="11" t="s">
        <v>161</v>
      </c>
      <c r="B56" s="17">
        <v>4106</v>
      </c>
      <c r="C56" s="17">
        <v>0</v>
      </c>
      <c r="D56" s="17">
        <v>4367</v>
      </c>
      <c r="E56" s="17">
        <v>4367</v>
      </c>
      <c r="F56" s="17">
        <v>4555</v>
      </c>
      <c r="G56" s="18">
        <v>7.833683083062494E-2</v>
      </c>
    </row>
    <row r="57" spans="1:7" x14ac:dyDescent="0.2">
      <c r="A57" s="11" t="s">
        <v>162</v>
      </c>
      <c r="B57" s="17">
        <v>0</v>
      </c>
      <c r="C57" s="17">
        <v>0</v>
      </c>
      <c r="D57" s="17">
        <v>0</v>
      </c>
      <c r="E57" s="17">
        <v>0</v>
      </c>
      <c r="F57" s="17">
        <v>0</v>
      </c>
      <c r="G57" s="18">
        <v>0</v>
      </c>
    </row>
    <row r="58" spans="1:7" x14ac:dyDescent="0.2">
      <c r="A58" s="11" t="s">
        <v>163</v>
      </c>
      <c r="B58" s="17">
        <v>0</v>
      </c>
      <c r="C58" s="17">
        <v>0</v>
      </c>
      <c r="D58" s="17">
        <v>0</v>
      </c>
      <c r="E58" s="17">
        <v>0</v>
      </c>
      <c r="F58" s="17">
        <v>0</v>
      </c>
      <c r="G58" s="18">
        <v>0</v>
      </c>
    </row>
    <row r="59" spans="1:7" x14ac:dyDescent="0.2">
      <c r="A59" s="11" t="s">
        <v>164</v>
      </c>
      <c r="B59" s="17">
        <v>0</v>
      </c>
      <c r="C59" s="17">
        <v>0</v>
      </c>
      <c r="D59" s="17">
        <v>0</v>
      </c>
      <c r="E59" s="17">
        <v>0</v>
      </c>
      <c r="F59" s="17">
        <v>0</v>
      </c>
      <c r="G59" s="18">
        <v>0</v>
      </c>
    </row>
    <row r="60" spans="1:7" x14ac:dyDescent="0.2">
      <c r="A60" s="11" t="s">
        <v>165</v>
      </c>
      <c r="B60" s="17">
        <v>21171</v>
      </c>
      <c r="C60" s="17">
        <v>0</v>
      </c>
      <c r="D60" s="17">
        <v>22520</v>
      </c>
      <c r="E60" s="17">
        <v>22520</v>
      </c>
      <c r="F60" s="17">
        <v>23487</v>
      </c>
      <c r="G60" s="18">
        <v>0.40392912090425642</v>
      </c>
    </row>
    <row r="61" spans="1:7" x14ac:dyDescent="0.2">
      <c r="A61" s="11" t="s">
        <v>166</v>
      </c>
      <c r="B61" s="17">
        <v>0</v>
      </c>
      <c r="C61" s="17">
        <v>0</v>
      </c>
      <c r="D61" s="17">
        <v>0</v>
      </c>
      <c r="E61" s="17">
        <v>0</v>
      </c>
      <c r="F61" s="17">
        <v>0</v>
      </c>
      <c r="G61" s="18">
        <v>0</v>
      </c>
    </row>
    <row r="62" spans="1:7" x14ac:dyDescent="0.2">
      <c r="A62" s="11" t="s">
        <v>167</v>
      </c>
      <c r="B62" s="17">
        <v>0</v>
      </c>
      <c r="C62" s="17">
        <v>0</v>
      </c>
      <c r="D62" s="17">
        <v>0</v>
      </c>
      <c r="E62" s="17">
        <v>0</v>
      </c>
      <c r="F62" s="17">
        <v>0</v>
      </c>
      <c r="G62" s="18">
        <v>0</v>
      </c>
    </row>
    <row r="63" spans="1:7" x14ac:dyDescent="0.2">
      <c r="A63" s="11" t="s">
        <v>168</v>
      </c>
      <c r="B63" s="17">
        <v>8886</v>
      </c>
      <c r="C63" s="17">
        <v>0</v>
      </c>
      <c r="D63" s="17">
        <v>7753</v>
      </c>
      <c r="E63" s="17">
        <v>7753</v>
      </c>
      <c r="F63" s="17">
        <v>7848</v>
      </c>
      <c r="G63" s="18">
        <v>0.13496980205460912</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v>0</v>
      </c>
    </row>
    <row r="66" spans="1:7" x14ac:dyDescent="0.2">
      <c r="A66" s="11" t="s">
        <v>260</v>
      </c>
      <c r="B66" s="17">
        <v>0</v>
      </c>
      <c r="C66" s="17">
        <v>0</v>
      </c>
      <c r="D66" s="17">
        <v>0</v>
      </c>
      <c r="E66" s="17">
        <v>0</v>
      </c>
      <c r="F66" s="17">
        <v>0</v>
      </c>
      <c r="G66" s="18">
        <v>0</v>
      </c>
    </row>
    <row r="67" spans="1:7" x14ac:dyDescent="0.2">
      <c r="A67" s="11" t="s">
        <v>261</v>
      </c>
      <c r="B67" s="17">
        <v>0</v>
      </c>
      <c r="C67" s="17">
        <v>0</v>
      </c>
      <c r="D67" s="17">
        <v>0</v>
      </c>
      <c r="E67" s="17">
        <v>0</v>
      </c>
      <c r="F67" s="17">
        <v>0</v>
      </c>
      <c r="G67" s="18">
        <v>0</v>
      </c>
    </row>
    <row r="68" spans="1:7" x14ac:dyDescent="0.2">
      <c r="A68" s="11" t="s">
        <v>262</v>
      </c>
      <c r="B68" s="17">
        <v>31949</v>
      </c>
      <c r="C68" s="17">
        <v>0</v>
      </c>
      <c r="D68" s="17">
        <v>38000</v>
      </c>
      <c r="E68" s="17">
        <v>38000</v>
      </c>
      <c r="F68" s="17">
        <v>46000</v>
      </c>
      <c r="G68" s="18">
        <v>0.79110740246075673</v>
      </c>
    </row>
    <row r="69" spans="1:7" x14ac:dyDescent="0.2">
      <c r="A69" s="11" t="s">
        <v>263</v>
      </c>
      <c r="B69" s="17">
        <v>0</v>
      </c>
      <c r="C69" s="17">
        <v>0</v>
      </c>
      <c r="D69" s="17">
        <v>0</v>
      </c>
      <c r="E69" s="17">
        <v>0</v>
      </c>
      <c r="F69" s="17">
        <v>0</v>
      </c>
      <c r="G69" s="18">
        <v>0</v>
      </c>
    </row>
    <row r="70" spans="1:7" x14ac:dyDescent="0.2">
      <c r="A70" s="11" t="s">
        <v>184</v>
      </c>
      <c r="B70" s="17">
        <v>0</v>
      </c>
      <c r="C70" s="17">
        <v>0</v>
      </c>
      <c r="D70" s="17">
        <v>0</v>
      </c>
      <c r="E70" s="17">
        <v>0</v>
      </c>
      <c r="F70" s="17">
        <v>0</v>
      </c>
      <c r="G70" s="18">
        <v>0</v>
      </c>
    </row>
    <row r="71" spans="1:7" ht="15" customHeight="1" x14ac:dyDescent="0.2">
      <c r="A71" s="19" t="s">
        <v>110</v>
      </c>
      <c r="B71" s="20">
        <f>37071+24481+182470+52005+1446179+88073+78561+2479+39217+217837+91881+30035+19820+178752+103632+20369+28176+54636+50205+23668+71558+139715+111884+54858+35419+61701+12784+20103+54133+15534+121068+19366+369648+111976+13923+182910+69887+97734+168600+12229+42269+7392+61197+217839+28383+11582+65434+93879+54514+70448+4106+0+0+0+21171+0+0+8886+0+0+0+0+31949+0+0+0</f>
        <v>5233626</v>
      </c>
      <c r="C71" s="20">
        <f>0+0+0+0+0+0+0+0+0+0+0+0+0+0+0+0+0+0+0+0+0+0+0+0+0+0+0+0+0+0+0+0+0+0+0+0+0+0+0+0+0+0+0+0+0+0+0+0+0+0+0+0+0+0+0+0+0+0+0+0+0+0+0+0+0+0</f>
        <v>0</v>
      </c>
      <c r="D71" s="20">
        <f>39433+26041+194096+55318+1538322+93684+83567+2637+41715+231717+97735+31948+21083+190141+110235+21666+29972+58117+53404+25176+76118+148616+119013+58354+37676+65632+13599+21384+57582+16524+128782+20600+393200+119111+14810+194564+74340+103961+179342+13008+44962+7863+65097+231718+30191+12320+69603+99861+57988+74936+4367+0+0+0+22520+0+0+7753+0+0+0+0+38000+0+0+0</f>
        <v>5569402</v>
      </c>
      <c r="E71" s="20">
        <f>SUM(C71:D71)</f>
        <v>5569402</v>
      </c>
      <c r="F71" s="24" t="s">
        <v>471</v>
      </c>
      <c r="G71" s="21" t="s">
        <v>253</v>
      </c>
    </row>
    <row r="72" spans="1:7" ht="15" customHeight="1" x14ac:dyDescent="0.2">
      <c r="A72" s="74" t="s">
        <v>171</v>
      </c>
      <c r="B72" s="74"/>
      <c r="C72" s="74"/>
      <c r="D72" s="74"/>
      <c r="E72" s="74"/>
      <c r="F72" s="74"/>
      <c r="G72" s="74"/>
    </row>
    <row r="73" spans="1:7" ht="15" customHeight="1" x14ac:dyDescent="0.2">
      <c r="A73" s="67" t="s">
        <v>470</v>
      </c>
      <c r="B73" s="67"/>
      <c r="C73" s="67"/>
      <c r="D73" s="67"/>
      <c r="E73" s="67"/>
      <c r="F73" s="67"/>
      <c r="G73" s="67"/>
    </row>
    <row r="74" spans="1:7" ht="15" customHeight="1" x14ac:dyDescent="0.2">
      <c r="A74" s="67" t="s">
        <v>255</v>
      </c>
      <c r="B74" s="67"/>
      <c r="C74" s="67"/>
      <c r="D74" s="67"/>
      <c r="E74" s="67"/>
      <c r="F74" s="67"/>
      <c r="G74" s="67"/>
    </row>
  </sheetData>
  <mergeCells count="7">
    <mergeCell ref="A74:G74"/>
    <mergeCell ref="A4:A5"/>
    <mergeCell ref="B4:B5"/>
    <mergeCell ref="F4:F5"/>
    <mergeCell ref="G4:G5"/>
    <mergeCell ref="A72:G72"/>
    <mergeCell ref="A73:G7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74"/>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276</v>
      </c>
    </row>
    <row r="2" spans="1:7" x14ac:dyDescent="0.2">
      <c r="A2" s="13" t="s">
        <v>278</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27701</v>
      </c>
      <c r="C6" s="17">
        <v>0</v>
      </c>
      <c r="D6" s="17">
        <v>31750</v>
      </c>
      <c r="E6" s="17">
        <v>31750</v>
      </c>
      <c r="F6" s="17">
        <v>35309</v>
      </c>
      <c r="G6" s="18">
        <v>0.92551963986803831</v>
      </c>
    </row>
    <row r="7" spans="1:7" x14ac:dyDescent="0.2">
      <c r="A7" s="11" t="s">
        <v>112</v>
      </c>
      <c r="B7" s="17">
        <v>25092</v>
      </c>
      <c r="C7" s="17">
        <v>0</v>
      </c>
      <c r="D7" s="17">
        <v>28759</v>
      </c>
      <c r="E7" s="17">
        <v>28759</v>
      </c>
      <c r="F7" s="17">
        <v>31983</v>
      </c>
      <c r="G7" s="18">
        <v>0.83833851544647164</v>
      </c>
    </row>
    <row r="8" spans="1:7" x14ac:dyDescent="0.2">
      <c r="A8" s="11" t="s">
        <v>113</v>
      </c>
      <c r="B8" s="17">
        <v>160033</v>
      </c>
      <c r="C8" s="17">
        <v>0</v>
      </c>
      <c r="D8" s="17">
        <v>183423</v>
      </c>
      <c r="E8" s="17">
        <v>183423</v>
      </c>
      <c r="F8" s="17">
        <v>203986</v>
      </c>
      <c r="G8" s="18">
        <v>5.3468817938237176</v>
      </c>
    </row>
    <row r="9" spans="1:7" x14ac:dyDescent="0.2">
      <c r="A9" s="11" t="s">
        <v>114</v>
      </c>
      <c r="B9" s="17">
        <v>28250</v>
      </c>
      <c r="C9" s="17">
        <v>0</v>
      </c>
      <c r="D9" s="17">
        <v>32379</v>
      </c>
      <c r="E9" s="17">
        <v>32379</v>
      </c>
      <c r="F9" s="17">
        <v>36009</v>
      </c>
      <c r="G9" s="18">
        <v>0.9438680424823187</v>
      </c>
    </row>
    <row r="10" spans="1:7" x14ac:dyDescent="0.2">
      <c r="A10" s="11" t="s">
        <v>115</v>
      </c>
      <c r="B10" s="17">
        <v>646764</v>
      </c>
      <c r="C10" s="17">
        <v>0</v>
      </c>
      <c r="D10" s="17">
        <v>741292</v>
      </c>
      <c r="E10" s="17">
        <v>741292</v>
      </c>
      <c r="F10" s="17">
        <v>824396</v>
      </c>
      <c r="G10" s="18">
        <v>21.609071030860441</v>
      </c>
    </row>
    <row r="11" spans="1:7" x14ac:dyDescent="0.2">
      <c r="A11" s="11" t="s">
        <v>116</v>
      </c>
      <c r="B11" s="17">
        <v>17510</v>
      </c>
      <c r="C11" s="17">
        <v>0</v>
      </c>
      <c r="D11" s="17">
        <v>20069</v>
      </c>
      <c r="E11" s="17">
        <v>20069</v>
      </c>
      <c r="F11" s="17">
        <v>22319</v>
      </c>
      <c r="G11" s="18">
        <v>0.58502571135446335</v>
      </c>
    </row>
    <row r="12" spans="1:7" x14ac:dyDescent="0.2">
      <c r="A12" s="11" t="s">
        <v>117</v>
      </c>
      <c r="B12" s="17">
        <v>44937</v>
      </c>
      <c r="C12" s="17">
        <v>0</v>
      </c>
      <c r="D12" s="17">
        <v>51505</v>
      </c>
      <c r="E12" s="17">
        <v>51505</v>
      </c>
      <c r="F12" s="17">
        <v>57279</v>
      </c>
      <c r="G12" s="18">
        <v>1.5013973619190961</v>
      </c>
    </row>
    <row r="13" spans="1:7" x14ac:dyDescent="0.2">
      <c r="A13" s="11" t="s">
        <v>118</v>
      </c>
      <c r="B13" s="17">
        <v>2262</v>
      </c>
      <c r="C13" s="17">
        <v>0</v>
      </c>
      <c r="D13" s="17">
        <v>2592</v>
      </c>
      <c r="E13" s="17">
        <v>2592</v>
      </c>
      <c r="F13" s="17">
        <v>2883</v>
      </c>
      <c r="G13" s="18">
        <v>7.5569206767100577E-2</v>
      </c>
    </row>
    <row r="14" spans="1:7" x14ac:dyDescent="0.2">
      <c r="A14" s="11" t="s">
        <v>119</v>
      </c>
      <c r="B14" s="17">
        <v>10054</v>
      </c>
      <c r="C14" s="17">
        <v>0</v>
      </c>
      <c r="D14" s="17">
        <v>11524</v>
      </c>
      <c r="E14" s="17">
        <v>11524</v>
      </c>
      <c r="F14" s="17">
        <v>12816</v>
      </c>
      <c r="G14" s="18">
        <v>0.33593303986373951</v>
      </c>
    </row>
    <row r="15" spans="1:7" x14ac:dyDescent="0.2">
      <c r="A15" s="11" t="s">
        <v>120</v>
      </c>
      <c r="B15" s="17">
        <v>130077</v>
      </c>
      <c r="C15" s="17">
        <v>0</v>
      </c>
      <c r="D15" s="17">
        <v>149088</v>
      </c>
      <c r="E15" s="17">
        <v>149088</v>
      </c>
      <c r="F15" s="17">
        <v>165802</v>
      </c>
      <c r="G15" s="18">
        <v>4.3460026432184566</v>
      </c>
    </row>
    <row r="16" spans="1:7" x14ac:dyDescent="0.2">
      <c r="A16" s="11" t="s">
        <v>121</v>
      </c>
      <c r="B16" s="17">
        <v>51330</v>
      </c>
      <c r="C16" s="17">
        <v>0</v>
      </c>
      <c r="D16" s="17">
        <v>58832</v>
      </c>
      <c r="E16" s="17">
        <v>58832</v>
      </c>
      <c r="F16" s="17">
        <v>65428</v>
      </c>
      <c r="G16" s="18">
        <v>1.7149989803530548</v>
      </c>
    </row>
    <row r="17" spans="1:7" x14ac:dyDescent="0.2">
      <c r="A17" s="11" t="s">
        <v>122</v>
      </c>
      <c r="B17" s="17">
        <v>16171</v>
      </c>
      <c r="C17" s="17">
        <v>0</v>
      </c>
      <c r="D17" s="17">
        <v>18535</v>
      </c>
      <c r="E17" s="17">
        <v>18535</v>
      </c>
      <c r="F17" s="17">
        <v>20613</v>
      </c>
      <c r="G17" s="18">
        <v>0.54030803298308849</v>
      </c>
    </row>
    <row r="18" spans="1:7" x14ac:dyDescent="0.2">
      <c r="A18" s="11" t="s">
        <v>123</v>
      </c>
      <c r="B18" s="17">
        <v>8945</v>
      </c>
      <c r="C18" s="17">
        <v>0</v>
      </c>
      <c r="D18" s="17">
        <v>10253</v>
      </c>
      <c r="E18" s="17">
        <v>10253</v>
      </c>
      <c r="F18" s="17">
        <v>11402</v>
      </c>
      <c r="G18" s="18">
        <v>0.29886926658289309</v>
      </c>
    </row>
    <row r="19" spans="1:7" x14ac:dyDescent="0.2">
      <c r="A19" s="11" t="s">
        <v>124</v>
      </c>
      <c r="B19" s="17">
        <v>79217</v>
      </c>
      <c r="C19" s="17">
        <v>0</v>
      </c>
      <c r="D19" s="17">
        <v>90794</v>
      </c>
      <c r="E19" s="17">
        <v>90794</v>
      </c>
      <c r="F19" s="17">
        <v>100973</v>
      </c>
      <c r="G19" s="18">
        <v>2.6467046531024789</v>
      </c>
    </row>
    <row r="20" spans="1:7" x14ac:dyDescent="0.2">
      <c r="A20" s="11" t="s">
        <v>125</v>
      </c>
      <c r="B20" s="17">
        <v>61930</v>
      </c>
      <c r="C20" s="17">
        <v>0</v>
      </c>
      <c r="D20" s="17">
        <v>70981</v>
      </c>
      <c r="E20" s="17">
        <v>70981</v>
      </c>
      <c r="F20" s="17">
        <v>78939</v>
      </c>
      <c r="G20" s="18">
        <v>2.0691493628124014</v>
      </c>
    </row>
    <row r="21" spans="1:7" x14ac:dyDescent="0.2">
      <c r="A21" s="11" t="s">
        <v>126</v>
      </c>
      <c r="B21" s="17">
        <v>41968</v>
      </c>
      <c r="C21" s="17">
        <v>0</v>
      </c>
      <c r="D21" s="17">
        <v>48102</v>
      </c>
      <c r="E21" s="17">
        <v>48102</v>
      </c>
      <c r="F21" s="17">
        <v>53495</v>
      </c>
      <c r="G21" s="18">
        <v>1.4022111397870431</v>
      </c>
    </row>
    <row r="22" spans="1:7" x14ac:dyDescent="0.2">
      <c r="A22" s="11" t="s">
        <v>127</v>
      </c>
      <c r="B22" s="17">
        <v>20103</v>
      </c>
      <c r="C22" s="17">
        <v>0</v>
      </c>
      <c r="D22" s="17">
        <v>23041</v>
      </c>
      <c r="E22" s="17">
        <v>23041</v>
      </c>
      <c r="F22" s="17">
        <v>25624</v>
      </c>
      <c r="G22" s="18">
        <v>0.6716563836976015</v>
      </c>
    </row>
    <row r="23" spans="1:7" x14ac:dyDescent="0.2">
      <c r="A23" s="11" t="s">
        <v>128</v>
      </c>
      <c r="B23" s="17">
        <v>64476</v>
      </c>
      <c r="C23" s="17">
        <v>0</v>
      </c>
      <c r="D23" s="17">
        <v>73899</v>
      </c>
      <c r="E23" s="17">
        <v>73899</v>
      </c>
      <c r="F23" s="17">
        <v>82184</v>
      </c>
      <c r="G23" s="18">
        <v>2.1542073149314582</v>
      </c>
    </row>
    <row r="24" spans="1:7" x14ac:dyDescent="0.2">
      <c r="A24" s="11" t="s">
        <v>129</v>
      </c>
      <c r="B24" s="17">
        <v>21753</v>
      </c>
      <c r="C24" s="17">
        <v>0</v>
      </c>
      <c r="D24" s="17">
        <v>24933</v>
      </c>
      <c r="E24" s="17">
        <v>24933</v>
      </c>
      <c r="F24" s="17">
        <v>27728</v>
      </c>
      <c r="G24" s="18">
        <v>0.72680643955538149</v>
      </c>
    </row>
    <row r="25" spans="1:7" x14ac:dyDescent="0.2">
      <c r="A25" s="11" t="s">
        <v>130</v>
      </c>
      <c r="B25" s="17">
        <v>20450</v>
      </c>
      <c r="C25" s="17">
        <v>0</v>
      </c>
      <c r="D25" s="17">
        <v>23438</v>
      </c>
      <c r="E25" s="17">
        <v>23438</v>
      </c>
      <c r="F25" s="17">
        <v>26066</v>
      </c>
      <c r="G25" s="18">
        <v>0.68324208934833286</v>
      </c>
    </row>
    <row r="26" spans="1:7" x14ac:dyDescent="0.2">
      <c r="A26" s="11" t="s">
        <v>131</v>
      </c>
      <c r="B26" s="17">
        <v>20186</v>
      </c>
      <c r="C26" s="17">
        <v>0</v>
      </c>
      <c r="D26" s="17">
        <v>23136</v>
      </c>
      <c r="E26" s="17">
        <v>23136</v>
      </c>
      <c r="F26" s="17">
        <v>25730</v>
      </c>
      <c r="G26" s="18">
        <v>0.67443485609347831</v>
      </c>
    </row>
    <row r="27" spans="1:7" x14ac:dyDescent="0.2">
      <c r="A27" s="11" t="s">
        <v>132</v>
      </c>
      <c r="B27" s="17">
        <v>33124</v>
      </c>
      <c r="C27" s="17">
        <v>0</v>
      </c>
      <c r="D27" s="17">
        <v>37965</v>
      </c>
      <c r="E27" s="17">
        <v>37965</v>
      </c>
      <c r="F27" s="17">
        <v>42222</v>
      </c>
      <c r="G27" s="18">
        <v>1.1067232216859246</v>
      </c>
    </row>
    <row r="28" spans="1:7" x14ac:dyDescent="0.2">
      <c r="A28" s="11" t="s">
        <v>133</v>
      </c>
      <c r="B28" s="17">
        <v>111857</v>
      </c>
      <c r="C28" s="17">
        <v>0</v>
      </c>
      <c r="D28" s="17">
        <v>128205</v>
      </c>
      <c r="E28" s="17">
        <v>128205</v>
      </c>
      <c r="F28" s="17">
        <v>142577</v>
      </c>
      <c r="G28" s="18">
        <v>3.7372288564803675</v>
      </c>
    </row>
    <row r="29" spans="1:7" x14ac:dyDescent="0.2">
      <c r="A29" s="11" t="s">
        <v>134</v>
      </c>
      <c r="B29" s="17">
        <v>37545</v>
      </c>
      <c r="C29" s="17">
        <v>0</v>
      </c>
      <c r="D29" s="17">
        <v>43033</v>
      </c>
      <c r="E29" s="17">
        <v>43033</v>
      </c>
      <c r="F29" s="17">
        <v>47857</v>
      </c>
      <c r="G29" s="18">
        <v>1.2544278627308818</v>
      </c>
    </row>
    <row r="30" spans="1:7" x14ac:dyDescent="0.2">
      <c r="A30" s="11" t="s">
        <v>135</v>
      </c>
      <c r="B30" s="17">
        <v>16153</v>
      </c>
      <c r="C30" s="17">
        <v>0</v>
      </c>
      <c r="D30" s="17">
        <v>18514</v>
      </c>
      <c r="E30" s="17">
        <v>18514</v>
      </c>
      <c r="F30" s="17">
        <v>20589</v>
      </c>
      <c r="G30" s="18">
        <v>0.53967894489345603</v>
      </c>
    </row>
    <row r="31" spans="1:7" x14ac:dyDescent="0.2">
      <c r="A31" s="11" t="s">
        <v>136</v>
      </c>
      <c r="B31" s="17">
        <v>40495</v>
      </c>
      <c r="C31" s="17">
        <v>0</v>
      </c>
      <c r="D31" s="17">
        <v>46413</v>
      </c>
      <c r="E31" s="17">
        <v>46413</v>
      </c>
      <c r="F31" s="17">
        <v>51616</v>
      </c>
      <c r="G31" s="18">
        <v>1.3529587847695677</v>
      </c>
    </row>
    <row r="32" spans="1:7" x14ac:dyDescent="0.2">
      <c r="A32" s="11" t="s">
        <v>137</v>
      </c>
      <c r="B32" s="17">
        <v>10011</v>
      </c>
      <c r="C32" s="17">
        <v>0</v>
      </c>
      <c r="D32" s="17">
        <v>11474</v>
      </c>
      <c r="E32" s="17">
        <v>11474</v>
      </c>
      <c r="F32" s="17">
        <v>12761</v>
      </c>
      <c r="G32" s="18">
        <v>0.33449137965833176</v>
      </c>
    </row>
    <row r="33" spans="1:7" x14ac:dyDescent="0.2">
      <c r="A33" s="11" t="s">
        <v>138</v>
      </c>
      <c r="B33" s="17">
        <v>20286</v>
      </c>
      <c r="C33" s="17">
        <v>0</v>
      </c>
      <c r="D33" s="17">
        <v>23251</v>
      </c>
      <c r="E33" s="17">
        <v>23251</v>
      </c>
      <c r="F33" s="17">
        <v>25857</v>
      </c>
      <c r="G33" s="18">
        <v>0.67776378056778341</v>
      </c>
    </row>
    <row r="34" spans="1:7" x14ac:dyDescent="0.2">
      <c r="A34" s="11" t="s">
        <v>139</v>
      </c>
      <c r="B34" s="17">
        <v>38970</v>
      </c>
      <c r="C34" s="17">
        <v>0</v>
      </c>
      <c r="D34" s="17">
        <v>44666</v>
      </c>
      <c r="E34" s="17">
        <v>44666</v>
      </c>
      <c r="F34" s="17">
        <v>49673</v>
      </c>
      <c r="G34" s="18">
        <v>1.3020288615130722</v>
      </c>
    </row>
    <row r="35" spans="1:7" x14ac:dyDescent="0.2">
      <c r="A35" s="11" t="s">
        <v>140</v>
      </c>
      <c r="B35" s="17">
        <v>3590</v>
      </c>
      <c r="C35" s="17">
        <v>0</v>
      </c>
      <c r="D35" s="17">
        <v>4115</v>
      </c>
      <c r="E35" s="17">
        <v>4115</v>
      </c>
      <c r="F35" s="17">
        <v>4576</v>
      </c>
      <c r="G35" s="18">
        <v>0.11994612908992447</v>
      </c>
    </row>
    <row r="36" spans="1:7" x14ac:dyDescent="0.2">
      <c r="A36" s="11" t="s">
        <v>141</v>
      </c>
      <c r="B36" s="17">
        <v>83591</v>
      </c>
      <c r="C36" s="17">
        <v>0</v>
      </c>
      <c r="D36" s="17">
        <v>95808</v>
      </c>
      <c r="E36" s="17">
        <v>95808</v>
      </c>
      <c r="F36" s="17">
        <v>106548</v>
      </c>
      <c r="G36" s="18">
        <v>2.7928365739233549</v>
      </c>
    </row>
    <row r="37" spans="1:7" x14ac:dyDescent="0.2">
      <c r="A37" s="11" t="s">
        <v>142</v>
      </c>
      <c r="B37" s="17">
        <v>22703</v>
      </c>
      <c r="C37" s="17">
        <v>0</v>
      </c>
      <c r="D37" s="17">
        <v>26021</v>
      </c>
      <c r="E37" s="17">
        <v>26021</v>
      </c>
      <c r="F37" s="17">
        <v>28938</v>
      </c>
      <c r="G37" s="18">
        <v>0.75852296407435194</v>
      </c>
    </row>
    <row r="38" spans="1:7" x14ac:dyDescent="0.2">
      <c r="A38" s="11" t="s">
        <v>143</v>
      </c>
      <c r="B38" s="17">
        <v>126615</v>
      </c>
      <c r="C38" s="17">
        <v>0</v>
      </c>
      <c r="D38" s="17">
        <v>145120</v>
      </c>
      <c r="E38" s="17">
        <v>145120</v>
      </c>
      <c r="F38" s="17">
        <v>161389</v>
      </c>
      <c r="G38" s="18">
        <v>4.2303290707372856</v>
      </c>
    </row>
    <row r="39" spans="1:7" x14ac:dyDescent="0.2">
      <c r="A39" s="11" t="s">
        <v>144</v>
      </c>
      <c r="B39" s="17">
        <v>64880</v>
      </c>
      <c r="C39" s="17">
        <v>0</v>
      </c>
      <c r="D39" s="17">
        <v>74362</v>
      </c>
      <c r="E39" s="17">
        <v>74362</v>
      </c>
      <c r="F39" s="17">
        <v>82699</v>
      </c>
      <c r="G39" s="18">
        <v>2.1677064968548216</v>
      </c>
    </row>
    <row r="40" spans="1:7" x14ac:dyDescent="0.2">
      <c r="A40" s="11" t="s">
        <v>145</v>
      </c>
      <c r="B40" s="17">
        <v>7994</v>
      </c>
      <c r="C40" s="17">
        <v>0</v>
      </c>
      <c r="D40" s="17">
        <v>9162</v>
      </c>
      <c r="E40" s="17">
        <v>9162</v>
      </c>
      <c r="F40" s="17">
        <v>10190</v>
      </c>
      <c r="G40" s="18">
        <v>0.26710031805645329</v>
      </c>
    </row>
    <row r="41" spans="1:7" x14ac:dyDescent="0.2">
      <c r="A41" s="11" t="s">
        <v>146</v>
      </c>
      <c r="B41" s="17">
        <v>164030</v>
      </c>
      <c r="C41" s="17">
        <v>0</v>
      </c>
      <c r="D41" s="17">
        <v>188003</v>
      </c>
      <c r="E41" s="17">
        <v>188003</v>
      </c>
      <c r="F41" s="17">
        <v>209080</v>
      </c>
      <c r="G41" s="18">
        <v>5.4804057408482096</v>
      </c>
    </row>
    <row r="42" spans="1:7" x14ac:dyDescent="0.2">
      <c r="A42" s="11" t="s">
        <v>147</v>
      </c>
      <c r="B42" s="17">
        <v>83442</v>
      </c>
      <c r="C42" s="17">
        <v>0</v>
      </c>
      <c r="D42" s="17">
        <v>95638</v>
      </c>
      <c r="E42" s="17">
        <v>95638</v>
      </c>
      <c r="F42" s="17">
        <v>106359</v>
      </c>
      <c r="G42" s="18">
        <v>2.7878825052174991</v>
      </c>
    </row>
    <row r="43" spans="1:7" x14ac:dyDescent="0.2">
      <c r="A43" s="11" t="s">
        <v>148</v>
      </c>
      <c r="B43" s="17">
        <v>39564</v>
      </c>
      <c r="C43" s="17">
        <v>0</v>
      </c>
      <c r="D43" s="17">
        <v>45346</v>
      </c>
      <c r="E43" s="17">
        <v>45346</v>
      </c>
      <c r="F43" s="17">
        <v>50430</v>
      </c>
      <c r="G43" s="18">
        <v>1.3218713483402298</v>
      </c>
    </row>
    <row r="44" spans="1:7" x14ac:dyDescent="0.2">
      <c r="A44" s="11" t="s">
        <v>149</v>
      </c>
      <c r="B44" s="17">
        <v>100421</v>
      </c>
      <c r="C44" s="17">
        <v>0</v>
      </c>
      <c r="D44" s="17">
        <v>115098</v>
      </c>
      <c r="E44" s="17">
        <v>115098</v>
      </c>
      <c r="F44" s="17">
        <v>128001</v>
      </c>
      <c r="G44" s="18">
        <v>3.35516269004358</v>
      </c>
    </row>
    <row r="45" spans="1:7" x14ac:dyDescent="0.2">
      <c r="A45" s="11" t="s">
        <v>150</v>
      </c>
      <c r="B45" s="17">
        <v>8651</v>
      </c>
      <c r="C45" s="17">
        <v>0</v>
      </c>
      <c r="D45" s="17">
        <v>9916</v>
      </c>
      <c r="E45" s="17">
        <v>9916</v>
      </c>
      <c r="F45" s="17">
        <v>11027</v>
      </c>
      <c r="G45" s="18">
        <v>0.28903976518238572</v>
      </c>
    </row>
    <row r="46" spans="1:7" x14ac:dyDescent="0.2">
      <c r="A46" s="11" t="s">
        <v>151</v>
      </c>
      <c r="B46" s="17">
        <v>23973</v>
      </c>
      <c r="C46" s="17">
        <v>0</v>
      </c>
      <c r="D46" s="17">
        <v>27477</v>
      </c>
      <c r="E46" s="17">
        <v>27477</v>
      </c>
      <c r="F46" s="17">
        <v>30557</v>
      </c>
      <c r="G46" s="18">
        <v>0.80096019812080899</v>
      </c>
    </row>
    <row r="47" spans="1:7" x14ac:dyDescent="0.2">
      <c r="A47" s="11" t="s">
        <v>152</v>
      </c>
      <c r="B47" s="17">
        <v>5552</v>
      </c>
      <c r="C47" s="17">
        <v>0</v>
      </c>
      <c r="D47" s="17">
        <v>6364</v>
      </c>
      <c r="E47" s="17">
        <v>6364</v>
      </c>
      <c r="F47" s="17">
        <v>7077</v>
      </c>
      <c r="G47" s="18">
        <v>0.18550235043037488</v>
      </c>
    </row>
    <row r="48" spans="1:7" x14ac:dyDescent="0.2">
      <c r="A48" s="11" t="s">
        <v>153</v>
      </c>
      <c r="B48" s="17">
        <v>60794</v>
      </c>
      <c r="C48" s="17">
        <v>0</v>
      </c>
      <c r="D48" s="17">
        <v>69680</v>
      </c>
      <c r="E48" s="17">
        <v>69680</v>
      </c>
      <c r="F48" s="17">
        <v>77491</v>
      </c>
      <c r="G48" s="18">
        <v>2.0311943814045756</v>
      </c>
    </row>
    <row r="49" spans="1:7" x14ac:dyDescent="0.2">
      <c r="A49" s="11" t="s">
        <v>154</v>
      </c>
      <c r="B49" s="17">
        <v>150227</v>
      </c>
      <c r="C49" s="17">
        <v>0</v>
      </c>
      <c r="D49" s="17">
        <v>172184</v>
      </c>
      <c r="E49" s="17">
        <v>172184</v>
      </c>
      <c r="F49" s="17">
        <v>191487</v>
      </c>
      <c r="G49" s="18">
        <v>5.0192579591438742</v>
      </c>
    </row>
    <row r="50" spans="1:7" x14ac:dyDescent="0.2">
      <c r="A50" s="11" t="s">
        <v>155</v>
      </c>
      <c r="B50" s="17">
        <v>11750</v>
      </c>
      <c r="C50" s="17">
        <v>0</v>
      </c>
      <c r="D50" s="17">
        <v>13467</v>
      </c>
      <c r="E50" s="17">
        <v>13467</v>
      </c>
      <c r="F50" s="17">
        <v>14977</v>
      </c>
      <c r="G50" s="18">
        <v>0.39257717993439661</v>
      </c>
    </row>
    <row r="51" spans="1:7" x14ac:dyDescent="0.2">
      <c r="A51" s="11" t="s">
        <v>156</v>
      </c>
      <c r="B51" s="17">
        <v>10398</v>
      </c>
      <c r="C51" s="17">
        <v>0</v>
      </c>
      <c r="D51" s="17">
        <v>11918</v>
      </c>
      <c r="E51" s="17">
        <v>11918</v>
      </c>
      <c r="F51" s="17">
        <v>13254</v>
      </c>
      <c r="G51" s="18">
        <v>0.34741389749953211</v>
      </c>
    </row>
    <row r="52" spans="1:7" x14ac:dyDescent="0.2">
      <c r="A52" s="11" t="s">
        <v>157</v>
      </c>
      <c r="B52" s="17">
        <v>63078</v>
      </c>
      <c r="C52" s="17">
        <v>0</v>
      </c>
      <c r="D52" s="17">
        <v>72297</v>
      </c>
      <c r="E52" s="17">
        <v>72297</v>
      </c>
      <c r="F52" s="17">
        <v>80402</v>
      </c>
      <c r="G52" s="18">
        <v>2.1074975242762473</v>
      </c>
    </row>
    <row r="53" spans="1:7" x14ac:dyDescent="0.2">
      <c r="A53" s="11" t="s">
        <v>158</v>
      </c>
      <c r="B53" s="17">
        <v>57463</v>
      </c>
      <c r="C53" s="17">
        <v>0</v>
      </c>
      <c r="D53" s="17">
        <v>65861</v>
      </c>
      <c r="E53" s="17">
        <v>65861</v>
      </c>
      <c r="F53" s="17">
        <v>73245</v>
      </c>
      <c r="G53" s="18">
        <v>1.9198982135470974</v>
      </c>
    </row>
    <row r="54" spans="1:7" x14ac:dyDescent="0.2">
      <c r="A54" s="11" t="s">
        <v>159</v>
      </c>
      <c r="B54" s="17">
        <v>45804</v>
      </c>
      <c r="C54" s="17">
        <v>0</v>
      </c>
      <c r="D54" s="17">
        <v>52499</v>
      </c>
      <c r="E54" s="17">
        <v>52499</v>
      </c>
      <c r="F54" s="17">
        <v>58384</v>
      </c>
      <c r="G54" s="18">
        <v>1.5303616260459245</v>
      </c>
    </row>
    <row r="55" spans="1:7" x14ac:dyDescent="0.2">
      <c r="A55" s="11" t="s">
        <v>160</v>
      </c>
      <c r="B55" s="17">
        <v>48245</v>
      </c>
      <c r="C55" s="17">
        <v>0</v>
      </c>
      <c r="D55" s="17">
        <v>55296</v>
      </c>
      <c r="E55" s="17">
        <v>55296</v>
      </c>
      <c r="F55" s="17">
        <v>61495</v>
      </c>
      <c r="G55" s="18">
        <v>1.6119071696645335</v>
      </c>
    </row>
    <row r="56" spans="1:7" x14ac:dyDescent="0.2">
      <c r="A56" s="11" t="s">
        <v>161</v>
      </c>
      <c r="B56" s="17">
        <v>1051</v>
      </c>
      <c r="C56" s="17">
        <v>0</v>
      </c>
      <c r="D56" s="17">
        <v>1205</v>
      </c>
      <c r="E56" s="17">
        <v>1205</v>
      </c>
      <c r="F56" s="17">
        <v>1340</v>
      </c>
      <c r="G56" s="18">
        <v>3.5124085004479631E-2</v>
      </c>
    </row>
    <row r="57" spans="1:7" x14ac:dyDescent="0.2">
      <c r="A57" s="11" t="s">
        <v>162</v>
      </c>
      <c r="B57" s="17">
        <v>0</v>
      </c>
      <c r="C57" s="17">
        <v>0</v>
      </c>
      <c r="D57" s="17">
        <v>0</v>
      </c>
      <c r="E57" s="17">
        <v>0</v>
      </c>
      <c r="F57" s="17">
        <v>0</v>
      </c>
      <c r="G57" s="18">
        <v>0</v>
      </c>
    </row>
    <row r="58" spans="1:7" x14ac:dyDescent="0.2">
      <c r="A58" s="11" t="s">
        <v>163</v>
      </c>
      <c r="B58" s="17">
        <v>0</v>
      </c>
      <c r="C58" s="17">
        <v>0</v>
      </c>
      <c r="D58" s="17">
        <v>0</v>
      </c>
      <c r="E58" s="17">
        <v>0</v>
      </c>
      <c r="F58" s="17">
        <v>0</v>
      </c>
      <c r="G58" s="18">
        <v>0</v>
      </c>
    </row>
    <row r="59" spans="1:7" x14ac:dyDescent="0.2">
      <c r="A59" s="11" t="s">
        <v>164</v>
      </c>
      <c r="B59" s="17">
        <v>0</v>
      </c>
      <c r="C59" s="17">
        <v>0</v>
      </c>
      <c r="D59" s="17">
        <v>0</v>
      </c>
      <c r="E59" s="17">
        <v>0</v>
      </c>
      <c r="F59" s="17">
        <v>0</v>
      </c>
      <c r="G59" s="18">
        <v>0</v>
      </c>
    </row>
    <row r="60" spans="1:7" x14ac:dyDescent="0.2">
      <c r="A60" s="11" t="s">
        <v>165</v>
      </c>
      <c r="B60" s="17">
        <v>1431</v>
      </c>
      <c r="C60" s="17">
        <v>0</v>
      </c>
      <c r="D60" s="17">
        <v>1640</v>
      </c>
      <c r="E60" s="17">
        <v>1640</v>
      </c>
      <c r="F60" s="17">
        <v>1824</v>
      </c>
      <c r="G60" s="18">
        <v>4.7810694812067796E-2</v>
      </c>
    </row>
    <row r="61" spans="1:7" x14ac:dyDescent="0.2">
      <c r="A61" s="11" t="s">
        <v>166</v>
      </c>
      <c r="B61" s="17">
        <v>0</v>
      </c>
      <c r="C61" s="17">
        <v>0</v>
      </c>
      <c r="D61" s="17">
        <v>0</v>
      </c>
      <c r="E61" s="17">
        <v>0</v>
      </c>
      <c r="F61" s="17">
        <v>0</v>
      </c>
      <c r="G61" s="18">
        <v>0</v>
      </c>
    </row>
    <row r="62" spans="1:7" x14ac:dyDescent="0.2">
      <c r="A62" s="11" t="s">
        <v>167</v>
      </c>
      <c r="B62" s="17">
        <v>0</v>
      </c>
      <c r="C62" s="17">
        <v>0</v>
      </c>
      <c r="D62" s="17">
        <v>0</v>
      </c>
      <c r="E62" s="17">
        <v>0</v>
      </c>
      <c r="F62" s="17">
        <v>0</v>
      </c>
      <c r="G62" s="18">
        <v>0</v>
      </c>
    </row>
    <row r="63" spans="1:7" x14ac:dyDescent="0.2">
      <c r="A63" s="11" t="s">
        <v>168</v>
      </c>
      <c r="B63" s="17">
        <v>282</v>
      </c>
      <c r="C63" s="17">
        <v>0</v>
      </c>
      <c r="D63" s="17">
        <v>160</v>
      </c>
      <c r="E63" s="17">
        <v>160</v>
      </c>
      <c r="F63" s="17">
        <v>160</v>
      </c>
      <c r="G63" s="18" t="s">
        <v>467</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v>0</v>
      </c>
    </row>
    <row r="66" spans="1:7" x14ac:dyDescent="0.2">
      <c r="A66" s="11" t="s">
        <v>260</v>
      </c>
      <c r="B66" s="17">
        <v>0</v>
      </c>
      <c r="C66" s="17">
        <v>0</v>
      </c>
      <c r="D66" s="17">
        <v>0</v>
      </c>
      <c r="E66" s="17">
        <v>0</v>
      </c>
      <c r="F66" s="17">
        <v>0</v>
      </c>
      <c r="G66" s="18">
        <v>0</v>
      </c>
    </row>
    <row r="67" spans="1:7" x14ac:dyDescent="0.2">
      <c r="A67" s="11" t="s">
        <v>261</v>
      </c>
      <c r="B67" s="17">
        <v>0</v>
      </c>
      <c r="C67" s="17">
        <v>0</v>
      </c>
      <c r="D67" s="17">
        <v>0</v>
      </c>
      <c r="E67" s="17">
        <v>0</v>
      </c>
      <c r="F67" s="17">
        <v>0</v>
      </c>
      <c r="G67" s="18">
        <v>0</v>
      </c>
    </row>
    <row r="68" spans="1:7" x14ac:dyDescent="0.2">
      <c r="A68" s="11" t="s">
        <v>262</v>
      </c>
      <c r="B68" s="17">
        <v>0</v>
      </c>
      <c r="C68" s="17">
        <v>0</v>
      </c>
      <c r="D68" s="17">
        <v>0</v>
      </c>
      <c r="E68" s="17">
        <v>0</v>
      </c>
      <c r="F68" s="17">
        <v>0</v>
      </c>
      <c r="G68" s="18">
        <v>0</v>
      </c>
    </row>
    <row r="69" spans="1:7" x14ac:dyDescent="0.2">
      <c r="A69" s="11" t="s">
        <v>263</v>
      </c>
      <c r="B69" s="17">
        <v>0</v>
      </c>
      <c r="C69" s="17">
        <v>0</v>
      </c>
      <c r="D69" s="17">
        <v>0</v>
      </c>
      <c r="E69" s="17">
        <v>0</v>
      </c>
      <c r="F69" s="17">
        <v>0</v>
      </c>
      <c r="G69" s="18">
        <v>0</v>
      </c>
    </row>
    <row r="70" spans="1:7" x14ac:dyDescent="0.2">
      <c r="A70" s="11" t="s">
        <v>184</v>
      </c>
      <c r="B70" s="17">
        <v>0</v>
      </c>
      <c r="C70" s="17">
        <v>0</v>
      </c>
      <c r="D70" s="17">
        <v>0</v>
      </c>
      <c r="E70" s="17">
        <v>0</v>
      </c>
      <c r="F70" s="17">
        <v>0</v>
      </c>
      <c r="G70" s="18">
        <v>0</v>
      </c>
    </row>
    <row r="71" spans="1:7" ht="15" customHeight="1" x14ac:dyDescent="0.2">
      <c r="A71" s="19" t="s">
        <v>110</v>
      </c>
      <c r="B71" s="20">
        <f>27701+25092+160033+28250+646764+17510+44937+2262+10054+130077+51330+16171+8945+79217+61930+41968+20103+64476+21753+20450+20186+33124+111857+37545+16153+40495+10011+20286+38970+3590+83591+22703+126615+64880+7994+164030+83442+39564+100421+8651+23973+5552+60794+150227+11750+10398+63078+57463+45804+48245+1051+0+0+0+1431+0+0+282+0+0+0+0+0+0+0+0</f>
        <v>2993179</v>
      </c>
      <c r="C71" s="20">
        <f>0+0+0+0+0+0+0+0+0+0+0+0+0+0+0+0+0+0+0+0+0+0+0+0+0+0+0+0+0+0+0+0+0+0+0+0+0+0+0+0+0+0+0+0+0+0+0+0+0+0+0+0+0+0+0+0+0+0+0+0+0+0+0+0+0+0</f>
        <v>0</v>
      </c>
      <c r="D71" s="20">
        <f>31750+28759+183423+32379+741292+20069+51505+2592+11524+149088+58832+18535+10253+90794+70981+48102+23041+73899+24933+23438+23136+37965+128205+43033+18514+46413+11474+23251+44666+4115+95808+26021+145120+74362+9162+188003+95638+45346+115098+9916+27477+6364+69680+172184+13467+11918+72297+65861+52499+55296+1205+0+0+0+1640+0+0+160+0+0+0+0+0+0+0+0</f>
        <v>3430483</v>
      </c>
      <c r="E71" s="20">
        <f>SUM(C71:D71)</f>
        <v>3430483</v>
      </c>
      <c r="F71" s="24" t="s">
        <v>468</v>
      </c>
      <c r="G71" s="21" t="s">
        <v>253</v>
      </c>
    </row>
    <row r="72" spans="1:7" ht="15" customHeight="1" x14ac:dyDescent="0.2">
      <c r="A72" s="74" t="s">
        <v>171</v>
      </c>
      <c r="B72" s="74"/>
      <c r="C72" s="74"/>
      <c r="D72" s="74"/>
      <c r="E72" s="74"/>
      <c r="F72" s="74"/>
      <c r="G72" s="74"/>
    </row>
    <row r="73" spans="1:7" ht="15" customHeight="1" x14ac:dyDescent="0.2">
      <c r="A73" s="67" t="s">
        <v>469</v>
      </c>
      <c r="B73" s="67"/>
      <c r="C73" s="67"/>
      <c r="D73" s="67"/>
      <c r="E73" s="67"/>
      <c r="F73" s="67"/>
      <c r="G73" s="67"/>
    </row>
    <row r="74" spans="1:7" ht="15" customHeight="1" x14ac:dyDescent="0.2">
      <c r="A74" s="67" t="s">
        <v>255</v>
      </c>
      <c r="B74" s="67"/>
      <c r="C74" s="67"/>
      <c r="D74" s="67"/>
      <c r="E74" s="67"/>
      <c r="F74" s="67"/>
      <c r="G74" s="67"/>
    </row>
  </sheetData>
  <mergeCells count="7">
    <mergeCell ref="A74:G74"/>
    <mergeCell ref="A4:A5"/>
    <mergeCell ref="B4:B5"/>
    <mergeCell ref="F4:F5"/>
    <mergeCell ref="G4:G5"/>
    <mergeCell ref="A72:G72"/>
    <mergeCell ref="A73:G7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4"/>
  <sheetViews>
    <sheetView workbookViewId="0"/>
  </sheetViews>
  <sheetFormatPr defaultRowHeight="12.75" x14ac:dyDescent="0.2"/>
  <cols>
    <col min="1" max="1" width="30.7109375" customWidth="1"/>
    <col min="2" max="7" width="11.7109375" customWidth="1"/>
  </cols>
  <sheetData>
    <row r="1" spans="1:7" ht="38.25" customHeight="1" x14ac:dyDescent="0.2">
      <c r="A1" s="12" t="s">
        <v>256</v>
      </c>
      <c r="B1" s="10"/>
      <c r="C1" s="10"/>
      <c r="D1" s="10"/>
      <c r="E1" s="10"/>
      <c r="F1" s="10"/>
      <c r="G1" s="12" t="s">
        <v>279</v>
      </c>
    </row>
    <row r="2" spans="1:7" x14ac:dyDescent="0.2">
      <c r="A2" s="13" t="s">
        <v>280</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23731608</v>
      </c>
      <c r="C6" s="17">
        <v>0</v>
      </c>
      <c r="D6" s="17">
        <v>23807510</v>
      </c>
      <c r="E6" s="17">
        <v>23807510</v>
      </c>
      <c r="F6" s="17">
        <v>0</v>
      </c>
      <c r="G6" s="18">
        <f>IF(AND(F72&lt;&gt;0,0&lt;&gt;0),IF(100*0/(F72-0)&lt;0.005,"*",100*0/(F72-0)),0)</f>
        <v>0</v>
      </c>
    </row>
    <row r="7" spans="1:7" x14ac:dyDescent="0.2">
      <c r="A7" s="11" t="s">
        <v>112</v>
      </c>
      <c r="B7" s="17">
        <v>3601526</v>
      </c>
      <c r="C7" s="17">
        <v>0</v>
      </c>
      <c r="D7" s="17">
        <v>3613044</v>
      </c>
      <c r="E7" s="17">
        <v>3613044</v>
      </c>
      <c r="F7" s="17">
        <v>0</v>
      </c>
      <c r="G7" s="18">
        <f>IF(AND(F72&lt;&gt;0,0&lt;&gt;0),IF(100*0/(F72-0)&lt;0.005,"*",100*0/(F72-0)),0)</f>
        <v>0</v>
      </c>
    </row>
    <row r="8" spans="1:7" x14ac:dyDescent="0.2">
      <c r="A8" s="11" t="s">
        <v>113</v>
      </c>
      <c r="B8" s="17">
        <v>34157132</v>
      </c>
      <c r="C8" s="17">
        <v>0</v>
      </c>
      <c r="D8" s="17">
        <v>34266377</v>
      </c>
      <c r="E8" s="17">
        <v>34266377</v>
      </c>
      <c r="F8" s="17">
        <v>0</v>
      </c>
      <c r="G8" s="18">
        <f>IF(AND(F72&lt;&gt;0,0&lt;&gt;0),IF(100*0/(F72-0)&lt;0.005,"*",100*0/(F72-0)),0)</f>
        <v>0</v>
      </c>
    </row>
    <row r="9" spans="1:7" x14ac:dyDescent="0.2">
      <c r="A9" s="11" t="s">
        <v>114</v>
      </c>
      <c r="B9" s="17">
        <v>14625656</v>
      </c>
      <c r="C9" s="17">
        <v>0</v>
      </c>
      <c r="D9" s="17">
        <v>14672434</v>
      </c>
      <c r="E9" s="17">
        <v>14672434</v>
      </c>
      <c r="F9" s="17">
        <v>0</v>
      </c>
      <c r="G9" s="18">
        <f>IF(AND(F72&lt;&gt;0,0&lt;&gt;0),IF(100*0/(F72-0)&lt;0.005,"*",100*0/(F72-0)),0)</f>
        <v>0</v>
      </c>
    </row>
    <row r="10" spans="1:7" x14ac:dyDescent="0.2">
      <c r="A10" s="11" t="s">
        <v>115</v>
      </c>
      <c r="B10" s="17">
        <v>192475303</v>
      </c>
      <c r="C10" s="17">
        <v>0</v>
      </c>
      <c r="D10" s="17">
        <v>193090896</v>
      </c>
      <c r="E10" s="17">
        <v>193090896</v>
      </c>
      <c r="F10" s="17">
        <v>0</v>
      </c>
      <c r="G10" s="18">
        <f>IF(AND(F72&lt;&gt;0,0&lt;&gt;0),IF(100*0/(F72-0)&lt;0.005,"*",100*0/(F72-0)),0)</f>
        <v>0</v>
      </c>
    </row>
    <row r="11" spans="1:7" x14ac:dyDescent="0.2">
      <c r="A11" s="11" t="s">
        <v>116</v>
      </c>
      <c r="B11" s="17">
        <v>27297168</v>
      </c>
      <c r="C11" s="17">
        <v>0</v>
      </c>
      <c r="D11" s="17">
        <v>27384473</v>
      </c>
      <c r="E11" s="17">
        <v>27384473</v>
      </c>
      <c r="F11" s="17">
        <v>0</v>
      </c>
      <c r="G11" s="18">
        <f>IF(AND(F72&lt;&gt;0,0&lt;&gt;0),IF(100*0/(F72-0)&lt;0.005,"*",100*0/(F72-0)),0)</f>
        <v>0</v>
      </c>
    </row>
    <row r="12" spans="1:7" x14ac:dyDescent="0.2">
      <c r="A12" s="11" t="s">
        <v>117</v>
      </c>
      <c r="B12" s="17">
        <v>17468267</v>
      </c>
      <c r="C12" s="17">
        <v>0</v>
      </c>
      <c r="D12" s="17">
        <v>17524135</v>
      </c>
      <c r="E12" s="17">
        <v>17524135</v>
      </c>
      <c r="F12" s="17">
        <v>0</v>
      </c>
      <c r="G12" s="18">
        <f>IF(AND(F72&lt;&gt;0,0&lt;&gt;0),IF(100*0/(F72-0)&lt;0.005,"*",100*0/(F72-0)),0)</f>
        <v>0</v>
      </c>
    </row>
    <row r="13" spans="1:7" x14ac:dyDescent="0.2">
      <c r="A13" s="11" t="s">
        <v>118</v>
      </c>
      <c r="B13" s="17">
        <v>4682984</v>
      </c>
      <c r="C13" s="17">
        <v>0</v>
      </c>
      <c r="D13" s="17">
        <v>4697961</v>
      </c>
      <c r="E13" s="17">
        <v>4697961</v>
      </c>
      <c r="F13" s="17">
        <v>0</v>
      </c>
      <c r="G13" s="18">
        <f>IF(AND(F72&lt;&gt;0,0&lt;&gt;0),IF(100*0/(F72-0)&lt;0.005,"*",100*0/(F72-0)),0)</f>
        <v>0</v>
      </c>
    </row>
    <row r="14" spans="1:7" x14ac:dyDescent="0.2">
      <c r="A14" s="11" t="s">
        <v>119</v>
      </c>
      <c r="B14" s="17">
        <v>3378447</v>
      </c>
      <c r="C14" s="17">
        <v>0</v>
      </c>
      <c r="D14" s="17">
        <v>3389252</v>
      </c>
      <c r="E14" s="17">
        <v>3389252</v>
      </c>
      <c r="F14" s="17">
        <v>0</v>
      </c>
      <c r="G14" s="18">
        <f>IF(AND(F72&lt;&gt;0,0&lt;&gt;0),IF(100*0/(F72-0)&lt;0.005,"*",100*0/(F72-0)),0)</f>
        <v>0</v>
      </c>
    </row>
    <row r="15" spans="1:7" x14ac:dyDescent="0.2">
      <c r="A15" s="11" t="s">
        <v>120</v>
      </c>
      <c r="B15" s="17">
        <v>102157832</v>
      </c>
      <c r="C15" s="17">
        <v>0</v>
      </c>
      <c r="D15" s="17">
        <v>102484563</v>
      </c>
      <c r="E15" s="17">
        <v>102484563</v>
      </c>
      <c r="F15" s="17">
        <v>0</v>
      </c>
      <c r="G15" s="18">
        <f>IF(AND(F72&lt;&gt;0,0&lt;&gt;0),IF(100*0/(F72-0)&lt;0.005,"*",100*0/(F72-0)),0)</f>
        <v>0</v>
      </c>
    </row>
    <row r="16" spans="1:7" x14ac:dyDescent="0.2">
      <c r="A16" s="11" t="s">
        <v>121</v>
      </c>
      <c r="B16" s="17">
        <v>50773086</v>
      </c>
      <c r="C16" s="17">
        <v>0</v>
      </c>
      <c r="D16" s="17">
        <v>50935473</v>
      </c>
      <c r="E16" s="17">
        <v>50935473</v>
      </c>
      <c r="F16" s="17">
        <v>0</v>
      </c>
      <c r="G16" s="18">
        <f>IF(AND(F72&lt;&gt;0,0&lt;&gt;0),IF(100*0/(F72-0)&lt;0.005,"*",100*0/(F72-0)),0)</f>
        <v>0</v>
      </c>
    </row>
    <row r="17" spans="1:7" x14ac:dyDescent="0.2">
      <c r="A17" s="11" t="s">
        <v>122</v>
      </c>
      <c r="B17" s="17">
        <v>6949648</v>
      </c>
      <c r="C17" s="17">
        <v>0</v>
      </c>
      <c r="D17" s="17">
        <v>6971875</v>
      </c>
      <c r="E17" s="17">
        <v>6971875</v>
      </c>
      <c r="F17" s="17">
        <v>0</v>
      </c>
      <c r="G17" s="18">
        <f>IF(AND(F72&lt;&gt;0,0&lt;&gt;0),IF(100*0/(F72-0)&lt;0.005,"*",100*0/(F72-0)),0)</f>
        <v>0</v>
      </c>
    </row>
    <row r="18" spans="1:7" x14ac:dyDescent="0.2">
      <c r="A18" s="11" t="s">
        <v>123</v>
      </c>
      <c r="B18" s="17">
        <v>8358551</v>
      </c>
      <c r="C18" s="17">
        <v>0</v>
      </c>
      <c r="D18" s="17">
        <v>8385284</v>
      </c>
      <c r="E18" s="17">
        <v>8385284</v>
      </c>
      <c r="F18" s="17">
        <v>0</v>
      </c>
      <c r="G18" s="18">
        <f>IF(AND(F72&lt;&gt;0,0&lt;&gt;0),IF(100*0/(F72-0)&lt;0.005,"*",100*0/(F72-0)),0)</f>
        <v>0</v>
      </c>
    </row>
    <row r="19" spans="1:7" x14ac:dyDescent="0.2">
      <c r="A19" s="11" t="s">
        <v>124</v>
      </c>
      <c r="B19" s="17">
        <v>62323770</v>
      </c>
      <c r="C19" s="17">
        <v>0</v>
      </c>
      <c r="D19" s="17">
        <v>62523100</v>
      </c>
      <c r="E19" s="17">
        <v>62523100</v>
      </c>
      <c r="F19" s="17">
        <v>0</v>
      </c>
      <c r="G19" s="18">
        <f>IF(AND(F72&lt;&gt;0,0&lt;&gt;0),IF(100*0/(F72-0)&lt;0.005,"*",100*0/(F72-0)),0)</f>
        <v>0</v>
      </c>
    </row>
    <row r="20" spans="1:7" x14ac:dyDescent="0.2">
      <c r="A20" s="11" t="s">
        <v>125</v>
      </c>
      <c r="B20" s="17">
        <v>32455904</v>
      </c>
      <c r="C20" s="17">
        <v>0</v>
      </c>
      <c r="D20" s="17">
        <v>32559708</v>
      </c>
      <c r="E20" s="17">
        <v>32559708</v>
      </c>
      <c r="F20" s="17">
        <v>0</v>
      </c>
      <c r="G20" s="18">
        <f>IF(AND(F72&lt;&gt;0,0&lt;&gt;0),IF(100*0/(F72-0)&lt;0.005,"*",100*0/(F72-0)),0)</f>
        <v>0</v>
      </c>
    </row>
    <row r="21" spans="1:7" x14ac:dyDescent="0.2">
      <c r="A21" s="11" t="s">
        <v>126</v>
      </c>
      <c r="B21" s="17">
        <v>15314187</v>
      </c>
      <c r="C21" s="17">
        <v>0</v>
      </c>
      <c r="D21" s="17">
        <v>15363166</v>
      </c>
      <c r="E21" s="17">
        <v>15363166</v>
      </c>
      <c r="F21" s="17">
        <v>0</v>
      </c>
      <c r="G21" s="18">
        <f>IF(AND(F72&lt;&gt;0,0&lt;&gt;0),IF(100*0/(F72-0)&lt;0.005,"*",100*0/(F72-0)),0)</f>
        <v>0</v>
      </c>
    </row>
    <row r="22" spans="1:7" x14ac:dyDescent="0.2">
      <c r="A22" s="11" t="s">
        <v>127</v>
      </c>
      <c r="B22" s="17">
        <v>14181884</v>
      </c>
      <c r="C22" s="17">
        <v>0</v>
      </c>
      <c r="D22" s="17">
        <v>14227242</v>
      </c>
      <c r="E22" s="17">
        <v>14227242</v>
      </c>
      <c r="F22" s="17">
        <v>0</v>
      </c>
      <c r="G22" s="18">
        <f>IF(AND(F72&lt;&gt;0,0&lt;&gt;0),IF(100*0/(F72-0)&lt;0.005,"*",100*0/(F72-0)),0)</f>
        <v>0</v>
      </c>
    </row>
    <row r="23" spans="1:7" x14ac:dyDescent="0.2">
      <c r="A23" s="11" t="s">
        <v>128</v>
      </c>
      <c r="B23" s="17">
        <v>21684216</v>
      </c>
      <c r="C23" s="17">
        <v>0</v>
      </c>
      <c r="D23" s="17">
        <v>21753570</v>
      </c>
      <c r="E23" s="17">
        <v>21753570</v>
      </c>
      <c r="F23" s="17">
        <v>0</v>
      </c>
      <c r="G23" s="18">
        <f>IF(AND(F72&lt;&gt;0,0&lt;&gt;0),IF(100*0/(F72-0)&lt;0.005,"*",100*0/(F72-0)),0)</f>
        <v>0</v>
      </c>
    </row>
    <row r="24" spans="1:7" x14ac:dyDescent="0.2">
      <c r="A24" s="11" t="s">
        <v>129</v>
      </c>
      <c r="B24" s="17">
        <v>22804622</v>
      </c>
      <c r="C24" s="17">
        <v>0</v>
      </c>
      <c r="D24" s="17">
        <v>22877558</v>
      </c>
      <c r="E24" s="17">
        <v>22877558</v>
      </c>
      <c r="F24" s="17">
        <v>0</v>
      </c>
      <c r="G24" s="18">
        <f>IF(AND(F72&lt;&gt;0,0&lt;&gt;0),IF(100*0/(F72-0)&lt;0.005,"*",100*0/(F72-0)),0)</f>
        <v>0</v>
      </c>
    </row>
    <row r="25" spans="1:7" x14ac:dyDescent="0.2">
      <c r="A25" s="11" t="s">
        <v>130</v>
      </c>
      <c r="B25" s="17">
        <v>6503563</v>
      </c>
      <c r="C25" s="17">
        <v>0</v>
      </c>
      <c r="D25" s="17">
        <v>6524363</v>
      </c>
      <c r="E25" s="17">
        <v>6524363</v>
      </c>
      <c r="F25" s="17">
        <v>0</v>
      </c>
      <c r="G25" s="18">
        <f>IF(AND(F72&lt;&gt;0,0&lt;&gt;0),IF(100*0/(F72-0)&lt;0.005,"*",100*0/(F72-0)),0)</f>
        <v>0</v>
      </c>
    </row>
    <row r="26" spans="1:7" x14ac:dyDescent="0.2">
      <c r="A26" s="11" t="s">
        <v>131</v>
      </c>
      <c r="B26" s="17">
        <v>29463663</v>
      </c>
      <c r="C26" s="17">
        <v>0</v>
      </c>
      <c r="D26" s="17">
        <v>29557896</v>
      </c>
      <c r="E26" s="17">
        <v>29557896</v>
      </c>
      <c r="F26" s="17">
        <v>0</v>
      </c>
      <c r="G26" s="18">
        <f>IF(AND(F72&lt;&gt;0,0&lt;&gt;0),IF(100*0/(F72-0)&lt;0.005,"*",100*0/(F72-0)),0)</f>
        <v>0</v>
      </c>
    </row>
    <row r="27" spans="1:7" x14ac:dyDescent="0.2">
      <c r="A27" s="11" t="s">
        <v>132</v>
      </c>
      <c r="B27" s="17">
        <v>33395486</v>
      </c>
      <c r="C27" s="17">
        <v>0</v>
      </c>
      <c r="D27" s="17">
        <v>33502295</v>
      </c>
      <c r="E27" s="17">
        <v>33502295</v>
      </c>
      <c r="F27" s="17">
        <v>0</v>
      </c>
      <c r="G27" s="18">
        <f>IF(AND(F72&lt;&gt;0,0&lt;&gt;0),IF(100*0/(F72-0)&lt;0.005,"*",100*0/(F72-0)),0)</f>
        <v>0</v>
      </c>
    </row>
    <row r="28" spans="1:7" x14ac:dyDescent="0.2">
      <c r="A28" s="11" t="s">
        <v>133</v>
      </c>
      <c r="B28" s="17">
        <v>48499271</v>
      </c>
      <c r="C28" s="17">
        <v>0</v>
      </c>
      <c r="D28" s="17">
        <v>48654386</v>
      </c>
      <c r="E28" s="17">
        <v>48654386</v>
      </c>
      <c r="F28" s="17">
        <v>0</v>
      </c>
      <c r="G28" s="18">
        <f>IF(AND(F72&lt;&gt;0,0&lt;&gt;0),IF(100*0/(F72-0)&lt;0.005,"*",100*0/(F72-0)),0)</f>
        <v>0</v>
      </c>
    </row>
    <row r="29" spans="1:7" x14ac:dyDescent="0.2">
      <c r="A29" s="11" t="s">
        <v>134</v>
      </c>
      <c r="B29" s="17">
        <v>27148452</v>
      </c>
      <c r="C29" s="17">
        <v>0</v>
      </c>
      <c r="D29" s="17">
        <v>27235281</v>
      </c>
      <c r="E29" s="17">
        <v>27235281</v>
      </c>
      <c r="F29" s="17">
        <v>0</v>
      </c>
      <c r="G29" s="18">
        <f>IF(AND(F72&lt;&gt;0,0&lt;&gt;0),IF(100*0/(F72-0)&lt;0.005,"*",100*0/(F72-0)),0)</f>
        <v>0</v>
      </c>
    </row>
    <row r="30" spans="1:7" x14ac:dyDescent="0.2">
      <c r="A30" s="11" t="s">
        <v>135</v>
      </c>
      <c r="B30" s="17">
        <v>14527420</v>
      </c>
      <c r="C30" s="17">
        <v>0</v>
      </c>
      <c r="D30" s="17">
        <v>14573883</v>
      </c>
      <c r="E30" s="17">
        <v>14573883</v>
      </c>
      <c r="F30" s="17">
        <v>0</v>
      </c>
      <c r="G30" s="18">
        <f>IF(AND(F72&lt;&gt;0,0&lt;&gt;0),IF(100*0/(F72-0)&lt;0.005,"*",100*0/(F72-0)),0)</f>
        <v>0</v>
      </c>
    </row>
    <row r="31" spans="1:7" x14ac:dyDescent="0.2">
      <c r="A31" s="11" t="s">
        <v>136</v>
      </c>
      <c r="B31" s="17">
        <v>29762356</v>
      </c>
      <c r="C31" s="17">
        <v>0</v>
      </c>
      <c r="D31" s="17">
        <v>29857544</v>
      </c>
      <c r="E31" s="17">
        <v>29857544</v>
      </c>
      <c r="F31" s="17">
        <v>0</v>
      </c>
      <c r="G31" s="18">
        <f>IF(AND(F72&lt;&gt;0,0&lt;&gt;0),IF(100*0/(F72-0)&lt;0.005,"*",100*0/(F72-0)),0)</f>
        <v>0</v>
      </c>
    </row>
    <row r="32" spans="1:7" x14ac:dyDescent="0.2">
      <c r="A32" s="11" t="s">
        <v>137</v>
      </c>
      <c r="B32" s="17">
        <v>5114088</v>
      </c>
      <c r="C32" s="17">
        <v>0</v>
      </c>
      <c r="D32" s="17">
        <v>5130445</v>
      </c>
      <c r="E32" s="17">
        <v>5130445</v>
      </c>
      <c r="F32" s="17">
        <v>0</v>
      </c>
      <c r="G32" s="18">
        <f>IF(AND(F72&lt;&gt;0,0&lt;&gt;0),IF(100*0/(F72-0)&lt;0.005,"*",100*0/(F72-0)),0)</f>
        <v>0</v>
      </c>
    </row>
    <row r="33" spans="1:7" x14ac:dyDescent="0.2">
      <c r="A33" s="11" t="s">
        <v>138</v>
      </c>
      <c r="B33" s="17">
        <v>9347458</v>
      </c>
      <c r="C33" s="17">
        <v>0</v>
      </c>
      <c r="D33" s="17">
        <v>9377354</v>
      </c>
      <c r="E33" s="17">
        <v>9377354</v>
      </c>
      <c r="F33" s="17">
        <v>0</v>
      </c>
      <c r="G33" s="18">
        <f>IF(AND(F72&lt;&gt;0,0&lt;&gt;0),IF(100*0/(F72-0)&lt;0.005,"*",100*0/(F72-0)),0)</f>
        <v>0</v>
      </c>
    </row>
    <row r="34" spans="1:7" x14ac:dyDescent="0.2">
      <c r="A34" s="11" t="s">
        <v>139</v>
      </c>
      <c r="B34" s="17">
        <v>14595279</v>
      </c>
      <c r="C34" s="17">
        <v>0</v>
      </c>
      <c r="D34" s="17">
        <v>14641959</v>
      </c>
      <c r="E34" s="17">
        <v>14641959</v>
      </c>
      <c r="F34" s="17">
        <v>0</v>
      </c>
      <c r="G34" s="18">
        <f>IF(AND(F72&lt;&gt;0,0&lt;&gt;0),IF(100*0/(F72-0)&lt;0.005,"*",100*0/(F72-0)),0)</f>
        <v>0</v>
      </c>
    </row>
    <row r="35" spans="1:7" x14ac:dyDescent="0.2">
      <c r="A35" s="11" t="s">
        <v>140</v>
      </c>
      <c r="B35" s="17">
        <v>6537095</v>
      </c>
      <c r="C35" s="17">
        <v>0</v>
      </c>
      <c r="D35" s="17">
        <v>6558003</v>
      </c>
      <c r="E35" s="17">
        <v>6558003</v>
      </c>
      <c r="F35" s="17">
        <v>0</v>
      </c>
      <c r="G35" s="18">
        <f>IF(AND(F72&lt;&gt;0,0&lt;&gt;0),IF(100*0/(F72-0)&lt;0.005,"*",100*0/(F72-0)),0)</f>
        <v>0</v>
      </c>
    </row>
    <row r="36" spans="1:7" x14ac:dyDescent="0.2">
      <c r="A36" s="11" t="s">
        <v>141</v>
      </c>
      <c r="B36" s="17">
        <v>43841952</v>
      </c>
      <c r="C36" s="17">
        <v>0</v>
      </c>
      <c r="D36" s="17">
        <v>43982172</v>
      </c>
      <c r="E36" s="17">
        <v>43982172</v>
      </c>
      <c r="F36" s="17">
        <v>0</v>
      </c>
      <c r="G36" s="18">
        <f>IF(AND(F72&lt;&gt;0,0&lt;&gt;0),IF(100*0/(F72-0)&lt;0.005,"*",100*0/(F72-0)),0)</f>
        <v>0</v>
      </c>
    </row>
    <row r="37" spans="1:7" x14ac:dyDescent="0.2">
      <c r="A37" s="11" t="s">
        <v>142</v>
      </c>
      <c r="B37" s="17">
        <v>10165299</v>
      </c>
      <c r="C37" s="17">
        <v>0</v>
      </c>
      <c r="D37" s="17">
        <v>10197811</v>
      </c>
      <c r="E37" s="17">
        <v>10197811</v>
      </c>
      <c r="F37" s="17">
        <v>0</v>
      </c>
      <c r="G37" s="18">
        <f>IF(AND(F72&lt;&gt;0,0&lt;&gt;0),IF(100*0/(F72-0)&lt;0.005,"*",100*0/(F72-0)),0)</f>
        <v>0</v>
      </c>
    </row>
    <row r="38" spans="1:7" x14ac:dyDescent="0.2">
      <c r="A38" s="11" t="s">
        <v>143</v>
      </c>
      <c r="B38" s="17">
        <v>96632335</v>
      </c>
      <c r="C38" s="17">
        <v>0</v>
      </c>
      <c r="D38" s="17">
        <v>96941394</v>
      </c>
      <c r="E38" s="17">
        <v>96941394</v>
      </c>
      <c r="F38" s="17">
        <v>0</v>
      </c>
      <c r="G38" s="18">
        <f>IF(AND(F72&lt;&gt;0,0&lt;&gt;0),IF(100*0/(F72-0)&lt;0.005,"*",100*0/(F72-0)),0)</f>
        <v>0</v>
      </c>
    </row>
    <row r="39" spans="1:7" x14ac:dyDescent="0.2">
      <c r="A39" s="11" t="s">
        <v>144</v>
      </c>
      <c r="B39" s="17">
        <v>50013830</v>
      </c>
      <c r="C39" s="17">
        <v>0</v>
      </c>
      <c r="D39" s="17">
        <v>50173789</v>
      </c>
      <c r="E39" s="17">
        <v>50173789</v>
      </c>
      <c r="F39" s="17">
        <v>0</v>
      </c>
      <c r="G39" s="18">
        <f>IF(AND(F72&lt;&gt;0,0&lt;&gt;0),IF(100*0/(F72-0)&lt;0.005,"*",100*0/(F72-0)),0)</f>
        <v>0</v>
      </c>
    </row>
    <row r="40" spans="1:7" x14ac:dyDescent="0.2">
      <c r="A40" s="11" t="s">
        <v>145</v>
      </c>
      <c r="B40" s="17">
        <v>3677460</v>
      </c>
      <c r="C40" s="17">
        <v>0</v>
      </c>
      <c r="D40" s="17">
        <v>3689223</v>
      </c>
      <c r="E40" s="17">
        <v>3689223</v>
      </c>
      <c r="F40" s="17">
        <v>0</v>
      </c>
      <c r="G40" s="18">
        <f>IF(AND(F72&lt;&gt;0,0&lt;&gt;0),IF(100*0/(F72-0)&lt;0.005,"*",100*0/(F72-0)),0)</f>
        <v>0</v>
      </c>
    </row>
    <row r="41" spans="1:7" x14ac:dyDescent="0.2">
      <c r="A41" s="11" t="s">
        <v>146</v>
      </c>
      <c r="B41" s="17">
        <v>56757316</v>
      </c>
      <c r="C41" s="17">
        <v>0</v>
      </c>
      <c r="D41" s="17">
        <v>56938842</v>
      </c>
      <c r="E41" s="17">
        <v>56938842</v>
      </c>
      <c r="F41" s="17">
        <v>0</v>
      </c>
      <c r="G41" s="18">
        <f>IF(AND(F72&lt;&gt;0,0&lt;&gt;0),IF(100*0/(F72-0)&lt;0.005,"*",100*0/(F72-0)),0)</f>
        <v>0</v>
      </c>
    </row>
    <row r="42" spans="1:7" x14ac:dyDescent="0.2">
      <c r="A42" s="11" t="s">
        <v>147</v>
      </c>
      <c r="B42" s="17">
        <v>19136527</v>
      </c>
      <c r="C42" s="17">
        <v>0</v>
      </c>
      <c r="D42" s="17">
        <v>19197732</v>
      </c>
      <c r="E42" s="17">
        <v>19197732</v>
      </c>
      <c r="F42" s="17">
        <v>0</v>
      </c>
      <c r="G42" s="18">
        <f>IF(AND(F72&lt;&gt;0,0&lt;&gt;0),IF(100*0/(F72-0)&lt;0.005,"*",100*0/(F72-0)),0)</f>
        <v>0</v>
      </c>
    </row>
    <row r="43" spans="1:7" x14ac:dyDescent="0.2">
      <c r="A43" s="11" t="s">
        <v>148</v>
      </c>
      <c r="B43" s="17">
        <v>20168172</v>
      </c>
      <c r="C43" s="17">
        <v>0</v>
      </c>
      <c r="D43" s="17">
        <v>20232677</v>
      </c>
      <c r="E43" s="17">
        <v>20232677</v>
      </c>
      <c r="F43" s="17">
        <v>0</v>
      </c>
      <c r="G43" s="18">
        <f>IF(AND(F72&lt;&gt;0,0&lt;&gt;0),IF(100*0/(F72-0)&lt;0.005,"*",100*0/(F72-0)),0)</f>
        <v>0</v>
      </c>
    </row>
    <row r="44" spans="1:7" x14ac:dyDescent="0.2">
      <c r="A44" s="11" t="s">
        <v>149</v>
      </c>
      <c r="B44" s="17">
        <v>62340876</v>
      </c>
      <c r="C44" s="17">
        <v>0</v>
      </c>
      <c r="D44" s="17">
        <v>62540261</v>
      </c>
      <c r="E44" s="17">
        <v>62540261</v>
      </c>
      <c r="F44" s="17">
        <v>0</v>
      </c>
      <c r="G44" s="18">
        <f>IF(AND(F72&lt;&gt;0,0&lt;&gt;0),IF(100*0/(F72-0)&lt;0.005,"*",100*0/(F72-0)),0)</f>
        <v>0</v>
      </c>
    </row>
    <row r="45" spans="1:7" x14ac:dyDescent="0.2">
      <c r="A45" s="11" t="s">
        <v>150</v>
      </c>
      <c r="B45" s="17">
        <v>5158614</v>
      </c>
      <c r="C45" s="17">
        <v>0</v>
      </c>
      <c r="D45" s="17">
        <v>5175113</v>
      </c>
      <c r="E45" s="17">
        <v>5175113</v>
      </c>
      <c r="F45" s="17">
        <v>0</v>
      </c>
      <c r="G45" s="18">
        <f>IF(AND(F72&lt;&gt;0,0&lt;&gt;0),IF(100*0/(F72-0)&lt;0.005,"*",100*0/(F72-0)),0)</f>
        <v>0</v>
      </c>
    </row>
    <row r="46" spans="1:7" x14ac:dyDescent="0.2">
      <c r="A46" s="11" t="s">
        <v>151</v>
      </c>
      <c r="B46" s="17">
        <v>24460011</v>
      </c>
      <c r="C46" s="17">
        <v>0</v>
      </c>
      <c r="D46" s="17">
        <v>24538241</v>
      </c>
      <c r="E46" s="17">
        <v>24538241</v>
      </c>
      <c r="F46" s="17">
        <v>0</v>
      </c>
      <c r="G46" s="18">
        <f>IF(AND(F72&lt;&gt;0,0&lt;&gt;0),IF(100*0/(F72-0)&lt;0.005,"*",100*0/(F72-0)),0)</f>
        <v>0</v>
      </c>
    </row>
    <row r="47" spans="1:7" x14ac:dyDescent="0.2">
      <c r="A47" s="11" t="s">
        <v>152</v>
      </c>
      <c r="B47" s="17">
        <v>4233772</v>
      </c>
      <c r="C47" s="17">
        <v>0</v>
      </c>
      <c r="D47" s="17">
        <v>4247314</v>
      </c>
      <c r="E47" s="17">
        <v>4247314</v>
      </c>
      <c r="F47" s="17">
        <v>0</v>
      </c>
      <c r="G47" s="18">
        <f>IF(AND(F72&lt;&gt;0,0&lt;&gt;0),IF(100*0/(F72-0)&lt;0.005,"*",100*0/(F72-0)),0)</f>
        <v>0</v>
      </c>
    </row>
    <row r="48" spans="1:7" x14ac:dyDescent="0.2">
      <c r="A48" s="11" t="s">
        <v>153</v>
      </c>
      <c r="B48" s="17">
        <v>32695258</v>
      </c>
      <c r="C48" s="17">
        <v>0</v>
      </c>
      <c r="D48" s="17">
        <v>32799827</v>
      </c>
      <c r="E48" s="17">
        <v>32799827</v>
      </c>
      <c r="F48" s="17">
        <v>0</v>
      </c>
      <c r="G48" s="18">
        <f>IF(AND(F72&lt;&gt;0,0&lt;&gt;0),IF(100*0/(F72-0)&lt;0.005,"*",100*0/(F72-0)),0)</f>
        <v>0</v>
      </c>
    </row>
    <row r="49" spans="1:7" x14ac:dyDescent="0.2">
      <c r="A49" s="11" t="s">
        <v>154</v>
      </c>
      <c r="B49" s="17">
        <v>137794559</v>
      </c>
      <c r="C49" s="17">
        <v>0</v>
      </c>
      <c r="D49" s="17">
        <v>138235267</v>
      </c>
      <c r="E49" s="17">
        <v>138235267</v>
      </c>
      <c r="F49" s="17">
        <v>0</v>
      </c>
      <c r="G49" s="18">
        <f>IF(AND(F72&lt;&gt;0,0&lt;&gt;0),IF(100*0/(F72-0)&lt;0.005,"*",100*0/(F72-0)),0)</f>
        <v>0</v>
      </c>
    </row>
    <row r="50" spans="1:7" x14ac:dyDescent="0.2">
      <c r="A50" s="11" t="s">
        <v>155</v>
      </c>
      <c r="B50" s="17">
        <v>15100576</v>
      </c>
      <c r="C50" s="17">
        <v>0</v>
      </c>
      <c r="D50" s="17">
        <v>15148872</v>
      </c>
      <c r="E50" s="17">
        <v>15148872</v>
      </c>
      <c r="F50" s="17">
        <v>0</v>
      </c>
      <c r="G50" s="18">
        <f>IF(AND(F72&lt;&gt;0,0&lt;&gt;0),IF(100*0/(F72-0)&lt;0.005,"*",100*0/(F72-0)),0)</f>
        <v>0</v>
      </c>
    </row>
    <row r="51" spans="1:7" x14ac:dyDescent="0.2">
      <c r="A51" s="11" t="s">
        <v>156</v>
      </c>
      <c r="B51" s="17">
        <v>3036134</v>
      </c>
      <c r="C51" s="17">
        <v>0</v>
      </c>
      <c r="D51" s="17">
        <v>3045844</v>
      </c>
      <c r="E51" s="17">
        <v>3045844</v>
      </c>
      <c r="F51" s="17">
        <v>0</v>
      </c>
      <c r="G51" s="18">
        <f>IF(AND(F72&lt;&gt;0,0&lt;&gt;0),IF(100*0/(F72-0)&lt;0.005,"*",100*0/(F72-0)),0)</f>
        <v>0</v>
      </c>
    </row>
    <row r="52" spans="1:7" x14ac:dyDescent="0.2">
      <c r="A52" s="11" t="s">
        <v>157</v>
      </c>
      <c r="B52" s="17">
        <v>41234387</v>
      </c>
      <c r="C52" s="17">
        <v>0</v>
      </c>
      <c r="D52" s="17">
        <v>41366267</v>
      </c>
      <c r="E52" s="17">
        <v>41366267</v>
      </c>
      <c r="F52" s="17">
        <v>0</v>
      </c>
      <c r="G52" s="18">
        <f>IF(AND(F72&lt;&gt;0,0&lt;&gt;0),IF(100*0/(F72-0)&lt;0.005,"*",100*0/(F72-0)),0)</f>
        <v>0</v>
      </c>
    </row>
    <row r="53" spans="1:7" x14ac:dyDescent="0.2">
      <c r="A53" s="11" t="s">
        <v>158</v>
      </c>
      <c r="B53" s="17">
        <v>36053194</v>
      </c>
      <c r="C53" s="17">
        <v>0</v>
      </c>
      <c r="D53" s="17">
        <v>36168503</v>
      </c>
      <c r="E53" s="17">
        <v>36168503</v>
      </c>
      <c r="F53" s="17">
        <v>0</v>
      </c>
      <c r="G53" s="18">
        <f>IF(AND(F72&lt;&gt;0,0&lt;&gt;0),IF(100*0/(F72-0)&lt;0.005,"*",100*0/(F72-0)),0)</f>
        <v>0</v>
      </c>
    </row>
    <row r="54" spans="1:7" x14ac:dyDescent="0.2">
      <c r="A54" s="11" t="s">
        <v>159</v>
      </c>
      <c r="B54" s="17">
        <v>8840091</v>
      </c>
      <c r="C54" s="17">
        <v>0</v>
      </c>
      <c r="D54" s="17">
        <v>8868365</v>
      </c>
      <c r="E54" s="17">
        <v>8868365</v>
      </c>
      <c r="F54" s="17">
        <v>0</v>
      </c>
      <c r="G54" s="18">
        <f>IF(AND(F72&lt;&gt;0,0&lt;&gt;0),IF(100*0/(F72-0)&lt;0.005,"*",100*0/(F72-0)),0)</f>
        <v>0</v>
      </c>
    </row>
    <row r="55" spans="1:7" x14ac:dyDescent="0.2">
      <c r="A55" s="11" t="s">
        <v>160</v>
      </c>
      <c r="B55" s="17">
        <v>28214006</v>
      </c>
      <c r="C55" s="17">
        <v>0</v>
      </c>
      <c r="D55" s="17">
        <v>28304242</v>
      </c>
      <c r="E55" s="17">
        <v>28304242</v>
      </c>
      <c r="F55" s="17">
        <v>0</v>
      </c>
      <c r="G55" s="18">
        <f>IF(AND(F72&lt;&gt;0,0&lt;&gt;0),IF(100*0/(F72-0)&lt;0.005,"*",100*0/(F72-0)),0)</f>
        <v>0</v>
      </c>
    </row>
    <row r="56" spans="1:7" x14ac:dyDescent="0.2">
      <c r="A56" s="11" t="s">
        <v>161</v>
      </c>
      <c r="B56" s="17">
        <v>2820264</v>
      </c>
      <c r="C56" s="17">
        <v>0</v>
      </c>
      <c r="D56" s="17">
        <v>2829285</v>
      </c>
      <c r="E56" s="17">
        <v>2829285</v>
      </c>
      <c r="F56" s="17">
        <v>0</v>
      </c>
      <c r="G56" s="18">
        <f>IF(AND(F72&lt;&gt;0,0&lt;&gt;0),IF(100*0/(F72-0)&lt;0.005,"*",100*0/(F72-0)),0)</f>
        <v>0</v>
      </c>
    </row>
    <row r="57" spans="1:7" x14ac:dyDescent="0.2">
      <c r="A57" s="11" t="s">
        <v>162</v>
      </c>
      <c r="B57" s="17">
        <v>56656</v>
      </c>
      <c r="C57" s="17">
        <v>0</v>
      </c>
      <c r="D57" s="17">
        <v>56837</v>
      </c>
      <c r="E57" s="17">
        <v>56837</v>
      </c>
      <c r="F57" s="17">
        <v>0</v>
      </c>
      <c r="G57" s="18">
        <f>IF(AND(F72&lt;&gt;0,0&lt;&gt;0),IF(100*0/(F72-0)&lt;0.005,"*",100*0/(F72-0)),0)</f>
        <v>0</v>
      </c>
    </row>
    <row r="58" spans="1:7" x14ac:dyDescent="0.2">
      <c r="A58" s="11" t="s">
        <v>163</v>
      </c>
      <c r="B58" s="17">
        <v>274931</v>
      </c>
      <c r="C58" s="17">
        <v>0</v>
      </c>
      <c r="D58" s="17">
        <v>275810</v>
      </c>
      <c r="E58" s="17">
        <v>275810</v>
      </c>
      <c r="F58" s="17">
        <v>0</v>
      </c>
      <c r="G58" s="18">
        <f>IF(AND(F72&lt;&gt;0,0&lt;&gt;0),IF(100*0/(F72-0)&lt;0.005,"*",100*0/(F72-0)),0)</f>
        <v>0</v>
      </c>
    </row>
    <row r="59" spans="1:7" x14ac:dyDescent="0.2">
      <c r="A59" s="11" t="s">
        <v>164</v>
      </c>
      <c r="B59" s="17">
        <v>54986</v>
      </c>
      <c r="C59" s="17">
        <v>0</v>
      </c>
      <c r="D59" s="17">
        <v>55162</v>
      </c>
      <c r="E59" s="17">
        <v>55162</v>
      </c>
      <c r="F59" s="17">
        <v>0</v>
      </c>
      <c r="G59" s="18">
        <f>IF(AND(F72&lt;&gt;0,0&lt;&gt;0),IF(100*0/(F72-0)&lt;0.005,"*",100*0/(F72-0)),0)</f>
        <v>0</v>
      </c>
    </row>
    <row r="60" spans="1:7" x14ac:dyDescent="0.2">
      <c r="A60" s="11" t="s">
        <v>165</v>
      </c>
      <c r="B60" s="17">
        <v>8247931</v>
      </c>
      <c r="C60" s="17">
        <v>0</v>
      </c>
      <c r="D60" s="17">
        <v>8274310</v>
      </c>
      <c r="E60" s="17">
        <v>8274310</v>
      </c>
      <c r="F60" s="17">
        <v>0</v>
      </c>
      <c r="G60" s="18">
        <f>IF(AND(F72&lt;&gt;0,0&lt;&gt;0),IF(100*0/(F72-0)&lt;0.005,"*",100*0/(F72-0)),0)</f>
        <v>0</v>
      </c>
    </row>
    <row r="61" spans="1:7" x14ac:dyDescent="0.2">
      <c r="A61" s="11" t="s">
        <v>166</v>
      </c>
      <c r="B61" s="17">
        <v>0</v>
      </c>
      <c r="C61" s="17">
        <v>0</v>
      </c>
      <c r="D61" s="17">
        <v>0</v>
      </c>
      <c r="E61" s="17">
        <v>0</v>
      </c>
      <c r="F61" s="17">
        <v>0</v>
      </c>
      <c r="G61" s="18">
        <f>IF(AND(F72&lt;&gt;0,0&lt;&gt;0),IF(100*0/(F72-0)&lt;0.005,"*",100*0/(F72-0)),0)</f>
        <v>0</v>
      </c>
    </row>
    <row r="62" spans="1:7" x14ac:dyDescent="0.2">
      <c r="A62" s="11" t="s">
        <v>167</v>
      </c>
      <c r="B62" s="17">
        <v>274931</v>
      </c>
      <c r="C62" s="17">
        <v>0</v>
      </c>
      <c r="D62" s="17">
        <v>275810</v>
      </c>
      <c r="E62" s="17">
        <v>275810</v>
      </c>
      <c r="F62" s="17">
        <v>0</v>
      </c>
      <c r="G62" s="18">
        <f>IF(AND(F72&lt;&gt;0,0&lt;&gt;0),IF(100*0/(F72-0)&lt;0.005,"*",100*0/(F72-0)),0)</f>
        <v>0</v>
      </c>
    </row>
    <row r="63" spans="1:7" x14ac:dyDescent="0.2">
      <c r="A63" s="11" t="s">
        <v>168</v>
      </c>
      <c r="B63" s="17">
        <v>0</v>
      </c>
      <c r="C63" s="17">
        <v>0</v>
      </c>
      <c r="D63" s="17">
        <v>0</v>
      </c>
      <c r="E63" s="17">
        <v>0</v>
      </c>
      <c r="F63" s="17">
        <v>0</v>
      </c>
      <c r="G63" s="18">
        <f>IF(AND(F72&lt;&gt;0,0&lt;&gt;0),IF(100*0/(F72-0)&lt;0.005,"*",100*0/(F72-0)),0)</f>
        <v>0</v>
      </c>
    </row>
    <row r="64" spans="1:7" x14ac:dyDescent="0.2">
      <c r="A64" s="11" t="s">
        <v>169</v>
      </c>
      <c r="B64" s="17">
        <v>0</v>
      </c>
      <c r="C64" s="17">
        <v>0</v>
      </c>
      <c r="D64" s="17">
        <v>0</v>
      </c>
      <c r="E64" s="17">
        <v>0</v>
      </c>
      <c r="F64" s="17">
        <v>0</v>
      </c>
      <c r="G64" s="18">
        <v>0</v>
      </c>
    </row>
    <row r="65" spans="1:7" x14ac:dyDescent="0.2">
      <c r="A65" s="11" t="s">
        <v>259</v>
      </c>
      <c r="B65" s="17">
        <v>0</v>
      </c>
      <c r="C65" s="17">
        <v>0</v>
      </c>
      <c r="D65" s="17">
        <v>0</v>
      </c>
      <c r="E65" s="17">
        <v>0</v>
      </c>
      <c r="F65" s="17">
        <v>0</v>
      </c>
      <c r="G65" s="18">
        <f>IF(AND(F72&lt;&gt;0,0&lt;&gt;0),IF(100*0/(F72-0)&lt;0.005,"*",100*0/(F72-0)),0)</f>
        <v>0</v>
      </c>
    </row>
    <row r="66" spans="1:7" x14ac:dyDescent="0.2">
      <c r="A66" s="11" t="s">
        <v>268</v>
      </c>
      <c r="B66" s="17">
        <v>0</v>
      </c>
      <c r="C66" s="17">
        <v>0</v>
      </c>
      <c r="D66" s="17">
        <v>0</v>
      </c>
      <c r="E66" s="17">
        <v>0</v>
      </c>
      <c r="F66" s="17">
        <v>0</v>
      </c>
      <c r="G66" s="18">
        <f>IF(AND(F72&lt;&gt;0,0&lt;&gt;0),IF(100*0/(F72-0)&lt;0.005,"*",100*0/(F72-0)),0)</f>
        <v>0</v>
      </c>
    </row>
    <row r="67" spans="1:7" x14ac:dyDescent="0.2">
      <c r="A67" s="11" t="s">
        <v>260</v>
      </c>
      <c r="B67" s="17">
        <v>0</v>
      </c>
      <c r="C67" s="17">
        <v>0</v>
      </c>
      <c r="D67" s="17">
        <v>0</v>
      </c>
      <c r="E67" s="17">
        <v>0</v>
      </c>
      <c r="F67" s="17">
        <v>0</v>
      </c>
      <c r="G67" s="18">
        <f>IF(AND(F72&lt;&gt;0,0&lt;&gt;0),IF(100*0/(F72-0)&lt;0.005,"*",100*0/(F72-0)),0)</f>
        <v>0</v>
      </c>
    </row>
    <row r="68" spans="1:7" x14ac:dyDescent="0.2">
      <c r="A68" s="11" t="s">
        <v>261</v>
      </c>
      <c r="B68" s="17">
        <v>0</v>
      </c>
      <c r="C68" s="17">
        <v>0</v>
      </c>
      <c r="D68" s="17">
        <v>0</v>
      </c>
      <c r="E68" s="17">
        <v>0</v>
      </c>
      <c r="F68" s="17">
        <v>0</v>
      </c>
      <c r="G68" s="18">
        <f>IF(AND(F72&lt;&gt;0,0&lt;&gt;0),IF(100*0/(F72-0)&lt;0.005,"*",100*0/(F72-0)),0)</f>
        <v>0</v>
      </c>
    </row>
    <row r="69" spans="1:7" x14ac:dyDescent="0.2">
      <c r="A69" s="11" t="s">
        <v>262</v>
      </c>
      <c r="B69" s="17">
        <v>0</v>
      </c>
      <c r="C69" s="17">
        <v>0</v>
      </c>
      <c r="D69" s="17">
        <v>0</v>
      </c>
      <c r="E69" s="17">
        <v>0</v>
      </c>
      <c r="F69" s="17">
        <v>0</v>
      </c>
      <c r="G69" s="18">
        <f>IF(AND(F72&lt;&gt;0,0&lt;&gt;0),IF(100*0/(F72-0)&lt;0.005,"*",100*0/(F72-0)),0)</f>
        <v>0</v>
      </c>
    </row>
    <row r="70" spans="1:7" x14ac:dyDescent="0.2">
      <c r="A70" s="11" t="s">
        <v>263</v>
      </c>
      <c r="B70" s="17">
        <v>0</v>
      </c>
      <c r="C70" s="17">
        <v>0</v>
      </c>
      <c r="D70" s="17">
        <v>0</v>
      </c>
      <c r="E70" s="17">
        <v>0</v>
      </c>
      <c r="F70" s="17">
        <v>0</v>
      </c>
      <c r="G70" s="18">
        <f>IF(AND(F72&lt;&gt;0,0&lt;&gt;0),IF(100*0/(F72-0)&lt;0.005,"*",100*0/(F72-0)),0)</f>
        <v>0</v>
      </c>
    </row>
    <row r="71" spans="1:7" x14ac:dyDescent="0.2">
      <c r="A71" s="11" t="s">
        <v>281</v>
      </c>
      <c r="B71" s="17">
        <v>0</v>
      </c>
      <c r="C71" s="17">
        <v>0</v>
      </c>
      <c r="D71" s="17">
        <v>0</v>
      </c>
      <c r="E71" s="17">
        <v>0</v>
      </c>
      <c r="F71" s="17">
        <v>0</v>
      </c>
      <c r="G71" s="18">
        <f>IF(AND(F72&lt;&gt;0,0&lt;&gt;0),IF(100*0/(F72-0)&lt;0.005,"*",100*0/(F72-0)),0)</f>
        <v>0</v>
      </c>
    </row>
    <row r="72" spans="1:7" ht="15" customHeight="1" x14ac:dyDescent="0.2">
      <c r="A72" s="19" t="s">
        <v>110</v>
      </c>
      <c r="B72" s="20">
        <f>23731608+3601526+34157132+14625656+192475303+27297168+17468267+4682984+3378447+102157832+50773086+6949648+8358551+62323770+32455904+15314187+14181884+21684216+22804622+6503563+29463663+33395486+48499271+27148452+14527420+29762356+5114088+9347458+14595279+6537095+43841952+10165299+96632335+50013830+3677460+56757316+19136527+20168172+62340876+5158614+24460011+4233772+32695258+137794559+15100576+3036134+41234387+36053194+8840091+28214006+2820264+56656+274931+54986+8247931+0+274931+0+0+0+0+0+0+0+0+0+0</f>
        <v>1594599990</v>
      </c>
      <c r="C72" s="20">
        <f>0+0+0+0+0+0+0+0+0+0+0+0+0+0+0+0+0+0+0+0+0+0+0+0+0+0+0+0+0+0+0+0+0+0+0+0+0+0+0+0+0+0+0+0+0+0+0+0+0+0+0+0+0+0+0+0+0+0+0+0+0+0+0+0+0+0+0</f>
        <v>0</v>
      </c>
      <c r="D72" s="20">
        <f>23807510+3613044+34266377+14672434+193090896+27384473+17524135+4697961+3389252+102484563+50935473+6971875+8385284+62523100+32559708+15363166+14227242+21753570+22877558+6524363+29557896+33502295+48654386+27235281+14573883+29857544+5130445+9377354+14641959+6558003+43982172+10197811+96941394+50173789+3689223+56938842+19197732+20232677+62540261+5175113+24538241+4247314+32799827+138235267+15148872+3045844+41366267+36168503+8868365+28304242+2829285+56837+275810+55162+8274310+0+275810+0+0+0+0+0+0+0+0+0+0</f>
        <v>1599700000</v>
      </c>
      <c r="E72" s="20">
        <f>SUM(C72:D72)</f>
        <v>1599700000</v>
      </c>
      <c r="F72" s="20">
        <f>0+0+0+0+0+0+0+0+0+0+0+0+0+0+0+0+0+0+0+0+0+0+0+0+0+0+0+0+0+0+0+0+0+0+0+0+0+0+0+0+0+0+0+0+0+0+0+0+0+0+0+0+0+0+0+0+0+0+0+0+0+0+0+0+0+0+0</f>
        <v>0</v>
      </c>
      <c r="G72" s="23" t="s">
        <v>189</v>
      </c>
    </row>
    <row r="73" spans="1:7" ht="15" customHeight="1" x14ac:dyDescent="0.2">
      <c r="A73" s="74" t="s">
        <v>171</v>
      </c>
      <c r="B73" s="74"/>
      <c r="C73" s="74"/>
      <c r="D73" s="74"/>
      <c r="E73" s="74"/>
      <c r="F73" s="74"/>
      <c r="G73" s="74"/>
    </row>
    <row r="74" spans="1:7" ht="15" customHeight="1" x14ac:dyDescent="0.2">
      <c r="A74" s="75" t="s">
        <v>282</v>
      </c>
      <c r="B74" s="75"/>
      <c r="C74" s="75"/>
      <c r="D74" s="75"/>
      <c r="E74" s="75"/>
      <c r="F74" s="75"/>
      <c r="G74" s="75"/>
    </row>
  </sheetData>
  <mergeCells count="6">
    <mergeCell ref="A74:G74"/>
    <mergeCell ref="A4:A5"/>
    <mergeCell ref="B4:B5"/>
    <mergeCell ref="F4:F5"/>
    <mergeCell ref="G4:G5"/>
    <mergeCell ref="A73:G7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283</v>
      </c>
      <c r="B1" s="10"/>
      <c r="C1" s="10"/>
      <c r="D1" s="10"/>
      <c r="E1" s="10"/>
      <c r="F1" s="10"/>
      <c r="G1" s="12" t="s">
        <v>284</v>
      </c>
    </row>
    <row r="2" spans="1:7" x14ac:dyDescent="0.2">
      <c r="A2" s="13" t="s">
        <v>285</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396288</v>
      </c>
      <c r="C6" s="17">
        <v>0</v>
      </c>
      <c r="D6" s="17">
        <v>434621</v>
      </c>
      <c r="E6" s="17">
        <v>434621</v>
      </c>
      <c r="F6" s="17">
        <v>449678</v>
      </c>
      <c r="G6" s="18">
        <f>IF(AND(F65&lt;&gt;0,449678&lt;&gt;0),IF(100*449678/(F65-0)&lt;0.005,"*",100*449678/(F65-0)),0)</f>
        <v>2.4940091214097224</v>
      </c>
    </row>
    <row r="7" spans="1:7" x14ac:dyDescent="0.2">
      <c r="A7" s="11" t="s">
        <v>112</v>
      </c>
      <c r="B7" s="17">
        <v>30418</v>
      </c>
      <c r="C7" s="17">
        <v>0</v>
      </c>
      <c r="D7" s="17">
        <v>32126</v>
      </c>
      <c r="E7" s="17">
        <v>32126</v>
      </c>
      <c r="F7" s="17">
        <v>38042</v>
      </c>
      <c r="G7" s="18">
        <f>IF(AND(F65&lt;&gt;0,38042&lt;&gt;0),IF(100*38042/(F65-0)&lt;0.005,"*",100*38042/(F65-0)),0)</f>
        <v>0.21098896320626909</v>
      </c>
    </row>
    <row r="8" spans="1:7" x14ac:dyDescent="0.2">
      <c r="A8" s="11" t="s">
        <v>113</v>
      </c>
      <c r="B8" s="17">
        <v>251666</v>
      </c>
      <c r="C8" s="17">
        <v>0</v>
      </c>
      <c r="D8" s="17">
        <v>266358</v>
      </c>
      <c r="E8" s="17">
        <v>266358</v>
      </c>
      <c r="F8" s="17">
        <v>259226</v>
      </c>
      <c r="G8" s="18">
        <f>IF(AND(F65&lt;&gt;0,259226&lt;&gt;0),IF(100*259226/(F65-0)&lt;0.005,"*",100*259226/(F65-0)),0)</f>
        <v>1.4377221222887415</v>
      </c>
    </row>
    <row r="9" spans="1:7" x14ac:dyDescent="0.2">
      <c r="A9" s="11" t="s">
        <v>114</v>
      </c>
      <c r="B9" s="17">
        <v>167790</v>
      </c>
      <c r="C9" s="17">
        <v>0</v>
      </c>
      <c r="D9" s="17">
        <v>177209</v>
      </c>
      <c r="E9" s="17">
        <v>177209</v>
      </c>
      <c r="F9" s="17">
        <v>204765</v>
      </c>
      <c r="G9" s="18">
        <f>IF(AND(F65&lt;&gt;0,204765&lt;&gt;0),IF(100*204765/(F65-0)&lt;0.005,"*",100*204765/(F65-0)),0)</f>
        <v>1.1356699187984778</v>
      </c>
    </row>
    <row r="10" spans="1:7" x14ac:dyDescent="0.2">
      <c r="A10" s="11" t="s">
        <v>115</v>
      </c>
      <c r="B10" s="17">
        <v>3038425</v>
      </c>
      <c r="C10" s="17">
        <v>0</v>
      </c>
      <c r="D10" s="17">
        <v>3208988</v>
      </c>
      <c r="E10" s="17">
        <v>3208988</v>
      </c>
      <c r="F10" s="17">
        <v>3283458</v>
      </c>
      <c r="G10" s="18">
        <f>IF(AND(F65&lt;&gt;0,3283458&lt;&gt;0),IF(100*3283458/(F65-0)&lt;0.005,"*",100*3283458/(F65-0)),0)</f>
        <v>18.210751252597916</v>
      </c>
    </row>
    <row r="11" spans="1:7" x14ac:dyDescent="0.2">
      <c r="A11" s="11" t="s">
        <v>116</v>
      </c>
      <c r="B11" s="17">
        <v>298414</v>
      </c>
      <c r="C11" s="17">
        <v>0</v>
      </c>
      <c r="D11" s="17">
        <v>315358</v>
      </c>
      <c r="E11" s="17">
        <v>315358</v>
      </c>
      <c r="F11" s="17">
        <v>321772</v>
      </c>
      <c r="G11" s="18">
        <f>IF(AND(F65&lt;&gt;0,321772&lt;&gt;0),IF(100*321772/(F65-0)&lt;0.005,"*",100*321772/(F65-0)),0)</f>
        <v>1.7846154426372856</v>
      </c>
    </row>
    <row r="12" spans="1:7" x14ac:dyDescent="0.2">
      <c r="A12" s="11" t="s">
        <v>117</v>
      </c>
      <c r="B12" s="17">
        <v>101405</v>
      </c>
      <c r="C12" s="17">
        <v>0</v>
      </c>
      <c r="D12" s="17">
        <v>107097</v>
      </c>
      <c r="E12" s="17">
        <v>107097</v>
      </c>
      <c r="F12" s="17">
        <v>83957</v>
      </c>
      <c r="G12" s="18">
        <f>IF(AND(F65&lt;&gt;0,83957&lt;&gt;0),IF(100*83957/(F65-0)&lt;0.005,"*",100*83957/(F65-0)),0)</f>
        <v>0.46564324651460842</v>
      </c>
    </row>
    <row r="13" spans="1:7" x14ac:dyDescent="0.2">
      <c r="A13" s="11" t="s">
        <v>118</v>
      </c>
      <c r="B13" s="17">
        <v>37871</v>
      </c>
      <c r="C13" s="17">
        <v>0</v>
      </c>
      <c r="D13" s="17">
        <v>40021</v>
      </c>
      <c r="E13" s="17">
        <v>40021</v>
      </c>
      <c r="F13" s="17">
        <v>38836</v>
      </c>
      <c r="G13" s="18">
        <f>IF(AND(F65&lt;&gt;0,38836&lt;&gt;0),IF(100*38836/(F65-0)&lt;0.005,"*",100*38836/(F65-0)),0)</f>
        <v>0.21539265483094122</v>
      </c>
    </row>
    <row r="14" spans="1:7" x14ac:dyDescent="0.2">
      <c r="A14" s="11" t="s">
        <v>119</v>
      </c>
      <c r="B14" s="17">
        <v>49217</v>
      </c>
      <c r="C14" s="17">
        <v>0</v>
      </c>
      <c r="D14" s="17">
        <v>52802</v>
      </c>
      <c r="E14" s="17">
        <v>52802</v>
      </c>
      <c r="F14" s="17">
        <v>82631</v>
      </c>
      <c r="G14" s="18">
        <f>IF(AND(F65&lt;&gt;0,82631&lt;&gt;0),IF(100*82631/(F65-0)&lt;0.005,"*",100*82631/(F65-0)),0)</f>
        <v>0.45828897057718365</v>
      </c>
    </row>
    <row r="15" spans="1:7" x14ac:dyDescent="0.2">
      <c r="A15" s="11" t="s">
        <v>120</v>
      </c>
      <c r="B15" s="17">
        <v>793192</v>
      </c>
      <c r="C15" s="17">
        <v>0</v>
      </c>
      <c r="D15" s="17">
        <v>842520</v>
      </c>
      <c r="E15" s="17">
        <v>842520</v>
      </c>
      <c r="F15" s="17">
        <v>854727</v>
      </c>
      <c r="G15" s="18">
        <f>IF(AND(F65&lt;&gt;0,854727&lt;&gt;0),IF(100*854727/(F65-0)&lt;0.005,"*",100*854727/(F65-0)),0)</f>
        <v>4.7404963870039625</v>
      </c>
    </row>
    <row r="16" spans="1:7" x14ac:dyDescent="0.2">
      <c r="A16" s="11" t="s">
        <v>121</v>
      </c>
      <c r="B16" s="17">
        <v>444313</v>
      </c>
      <c r="C16" s="17">
        <v>0</v>
      </c>
      <c r="D16" s="17">
        <v>469255</v>
      </c>
      <c r="E16" s="17">
        <v>469255</v>
      </c>
      <c r="F16" s="17">
        <v>429237</v>
      </c>
      <c r="G16" s="18">
        <f>IF(AND(F65&lt;&gt;0,429237&lt;&gt;0),IF(100*429237/(F65-0)&lt;0.005,"*",100*429237/(F65-0)),0)</f>
        <v>2.3806390200244287</v>
      </c>
    </row>
    <row r="17" spans="1:7" x14ac:dyDescent="0.2">
      <c r="A17" s="11" t="s">
        <v>122</v>
      </c>
      <c r="B17" s="17">
        <v>63149</v>
      </c>
      <c r="C17" s="17">
        <v>0</v>
      </c>
      <c r="D17" s="17">
        <v>66694</v>
      </c>
      <c r="E17" s="17">
        <v>66694</v>
      </c>
      <c r="F17" s="17">
        <v>51059</v>
      </c>
      <c r="G17" s="18">
        <f>IF(AND(F65&lt;&gt;0,51059&lt;&gt;0),IF(100*51059/(F65-0)&lt;0.005,"*",100*51059/(F65-0)),0)</f>
        <v>0.2831839932797669</v>
      </c>
    </row>
    <row r="18" spans="1:7" x14ac:dyDescent="0.2">
      <c r="A18" s="11" t="s">
        <v>123</v>
      </c>
      <c r="B18" s="17">
        <v>78353</v>
      </c>
      <c r="C18" s="17">
        <v>0</v>
      </c>
      <c r="D18" s="17">
        <v>83343</v>
      </c>
      <c r="E18" s="17">
        <v>83343</v>
      </c>
      <c r="F18" s="17">
        <v>99948</v>
      </c>
      <c r="G18" s="18">
        <f>IF(AND(F65&lt;&gt;0,99948&lt;&gt;0),IF(100*99948/(F65-0)&lt;0.005,"*",100*99948/(F65-0)),0)</f>
        <v>0.55433270844172711</v>
      </c>
    </row>
    <row r="19" spans="1:7" x14ac:dyDescent="0.2">
      <c r="A19" s="11" t="s">
        <v>124</v>
      </c>
      <c r="B19" s="17">
        <v>392710</v>
      </c>
      <c r="C19" s="17">
        <v>0</v>
      </c>
      <c r="D19" s="17">
        <v>414755</v>
      </c>
      <c r="E19" s="17">
        <v>414755</v>
      </c>
      <c r="F19" s="17">
        <v>358125</v>
      </c>
      <c r="G19" s="18">
        <f>IF(AND(F65&lt;&gt;0,358125&lt;&gt;0),IF(100*358125/(F65-0)&lt;0.005,"*",100*358125/(F65-0)),0)</f>
        <v>1.9862368552716765</v>
      </c>
    </row>
    <row r="20" spans="1:7" x14ac:dyDescent="0.2">
      <c r="A20" s="11" t="s">
        <v>125</v>
      </c>
      <c r="B20" s="17">
        <v>261535</v>
      </c>
      <c r="C20" s="17">
        <v>0</v>
      </c>
      <c r="D20" s="17">
        <v>276216</v>
      </c>
      <c r="E20" s="17">
        <v>276216</v>
      </c>
      <c r="F20" s="17">
        <v>243120</v>
      </c>
      <c r="G20" s="18">
        <f>IF(AND(F65&lt;&gt;0,243120&lt;&gt;0),IF(100*243120/(F65-0)&lt;0.005,"*",100*243120/(F65-0)),0)</f>
        <v>1.3483948460834903</v>
      </c>
    </row>
    <row r="21" spans="1:7" x14ac:dyDescent="0.2">
      <c r="A21" s="11" t="s">
        <v>126</v>
      </c>
      <c r="B21" s="17">
        <v>130026</v>
      </c>
      <c r="C21" s="17">
        <v>0</v>
      </c>
      <c r="D21" s="17">
        <v>146382</v>
      </c>
      <c r="E21" s="17">
        <v>146382</v>
      </c>
      <c r="F21" s="17">
        <v>147231</v>
      </c>
      <c r="G21" s="18">
        <f>IF(AND(F65&lt;&gt;0,147231&lt;&gt;0),IF(100*147231/(F65-0)&lt;0.005,"*",100*147231/(F65-0)),0)</f>
        <v>0.81657420855428742</v>
      </c>
    </row>
    <row r="22" spans="1:7" x14ac:dyDescent="0.2">
      <c r="A22" s="11" t="s">
        <v>127</v>
      </c>
      <c r="B22" s="17">
        <v>119145</v>
      </c>
      <c r="C22" s="17">
        <v>0</v>
      </c>
      <c r="D22" s="17">
        <v>125833</v>
      </c>
      <c r="E22" s="17">
        <v>125833</v>
      </c>
      <c r="F22" s="17">
        <v>150835</v>
      </c>
      <c r="G22" s="18">
        <f>IF(AND(F65&lt;&gt;0,150835&lt;&gt;0),IF(100*150835/(F65-0)&lt;0.005,"*",100*150835/(F65-0)),0)</f>
        <v>0.8365627534098522</v>
      </c>
    </row>
    <row r="23" spans="1:7" x14ac:dyDescent="0.2">
      <c r="A23" s="11" t="s">
        <v>128</v>
      </c>
      <c r="B23" s="17">
        <v>218000</v>
      </c>
      <c r="C23" s="17">
        <v>0</v>
      </c>
      <c r="D23" s="17">
        <v>230237</v>
      </c>
      <c r="E23" s="17">
        <v>230237</v>
      </c>
      <c r="F23" s="17">
        <v>232613</v>
      </c>
      <c r="G23" s="18">
        <f>IF(AND(F65&lt;&gt;0,232613&lt;&gt;0),IF(100*232613/(F65-0)&lt;0.005,"*",100*232613/(F65-0)),0)</f>
        <v>1.290120805906626</v>
      </c>
    </row>
    <row r="24" spans="1:7" x14ac:dyDescent="0.2">
      <c r="A24" s="11" t="s">
        <v>129</v>
      </c>
      <c r="B24" s="17">
        <v>373254</v>
      </c>
      <c r="C24" s="17">
        <v>0</v>
      </c>
      <c r="D24" s="17">
        <v>394207</v>
      </c>
      <c r="E24" s="17">
        <v>394207</v>
      </c>
      <c r="F24" s="17">
        <v>425460</v>
      </c>
      <c r="G24" s="18">
        <f>IF(AND(F65&lt;&gt;0,425460&lt;&gt;0),IF(100*425460/(F65-0)&lt;0.005,"*",100*425460/(F65-0)),0)</f>
        <v>2.3596909806461079</v>
      </c>
    </row>
    <row r="25" spans="1:7" x14ac:dyDescent="0.2">
      <c r="A25" s="11" t="s">
        <v>130</v>
      </c>
      <c r="B25" s="17">
        <v>37049</v>
      </c>
      <c r="C25" s="17">
        <v>0</v>
      </c>
      <c r="D25" s="17">
        <v>39129</v>
      </c>
      <c r="E25" s="17">
        <v>39129</v>
      </c>
      <c r="F25" s="17">
        <v>33334</v>
      </c>
      <c r="G25" s="18">
        <f>IF(AND(F65&lt;&gt;0,33334&lt;&gt;0),IF(100*33334/(F65-0)&lt;0.005,"*",100*33334/(F65-0)),0)</f>
        <v>0.18487740128063124</v>
      </c>
    </row>
    <row r="26" spans="1:7" x14ac:dyDescent="0.2">
      <c r="A26" s="11" t="s">
        <v>131</v>
      </c>
      <c r="B26" s="17">
        <v>316638</v>
      </c>
      <c r="C26" s="17">
        <v>0</v>
      </c>
      <c r="D26" s="17">
        <v>334413</v>
      </c>
      <c r="E26" s="17">
        <v>334413</v>
      </c>
      <c r="F26" s="17">
        <v>334671</v>
      </c>
      <c r="G26" s="18">
        <f>IF(AND(F65&lt;&gt;0,334671&lt;&gt;0),IF(100*334671/(F65-0)&lt;0.005,"*",100*334671/(F65-0)),0)</f>
        <v>1.8561560197993081</v>
      </c>
    </row>
    <row r="27" spans="1:7" x14ac:dyDescent="0.2">
      <c r="A27" s="11" t="s">
        <v>132</v>
      </c>
      <c r="B27" s="17">
        <v>724570</v>
      </c>
      <c r="C27" s="17">
        <v>0</v>
      </c>
      <c r="D27" s="17">
        <v>765244</v>
      </c>
      <c r="E27" s="17">
        <v>765244</v>
      </c>
      <c r="F27" s="17">
        <v>709071</v>
      </c>
      <c r="G27" s="18">
        <f>IF(AND(F65&lt;&gt;0,709071&lt;&gt;0),IF(100*709071/(F65-0)&lt;0.005,"*",100*709071/(F65-0)),0)</f>
        <v>3.9326574609545353</v>
      </c>
    </row>
    <row r="28" spans="1:7" x14ac:dyDescent="0.2">
      <c r="A28" s="11" t="s">
        <v>133</v>
      </c>
      <c r="B28" s="17">
        <v>273742</v>
      </c>
      <c r="C28" s="17">
        <v>0</v>
      </c>
      <c r="D28" s="17">
        <v>289108</v>
      </c>
      <c r="E28" s="17">
        <v>289108</v>
      </c>
      <c r="F28" s="17">
        <v>295751</v>
      </c>
      <c r="G28" s="18">
        <f>IF(AND(F65&lt;&gt;0,295751&lt;&gt;0),IF(100*295751/(F65-0)&lt;0.005,"*",100*295751/(F65-0)),0)</f>
        <v>1.6402974832347743</v>
      </c>
    </row>
    <row r="29" spans="1:7" x14ac:dyDescent="0.2">
      <c r="A29" s="11" t="s">
        <v>134</v>
      </c>
      <c r="B29" s="17">
        <v>129392</v>
      </c>
      <c r="C29" s="17">
        <v>0</v>
      </c>
      <c r="D29" s="17">
        <v>137017</v>
      </c>
      <c r="E29" s="17">
        <v>137017</v>
      </c>
      <c r="F29" s="17">
        <v>125587</v>
      </c>
      <c r="G29" s="18">
        <f>IF(AND(F65&lt;&gt;0,125587&lt;&gt;0),IF(100*125587/(F65-0)&lt;0.005,"*",100*125587/(F65-0)),0)</f>
        <v>0.69653201519861507</v>
      </c>
    </row>
    <row r="30" spans="1:7" x14ac:dyDescent="0.2">
      <c r="A30" s="11" t="s">
        <v>135</v>
      </c>
      <c r="B30" s="17">
        <v>257202</v>
      </c>
      <c r="C30" s="17">
        <v>0</v>
      </c>
      <c r="D30" s="17">
        <v>271641</v>
      </c>
      <c r="E30" s="17">
        <v>271641</v>
      </c>
      <c r="F30" s="17">
        <v>261682</v>
      </c>
      <c r="G30" s="18">
        <f>IF(AND(F65&lt;&gt;0,261682&lt;&gt;0),IF(100*261682/(F65-0)&lt;0.005,"*",100*261682/(F65-0)),0)</f>
        <v>1.4513436167852085</v>
      </c>
    </row>
    <row r="31" spans="1:7" x14ac:dyDescent="0.2">
      <c r="A31" s="11" t="s">
        <v>136</v>
      </c>
      <c r="B31" s="17">
        <v>278965</v>
      </c>
      <c r="C31" s="17">
        <v>0</v>
      </c>
      <c r="D31" s="17">
        <v>294625</v>
      </c>
      <c r="E31" s="17">
        <v>294625</v>
      </c>
      <c r="F31" s="17">
        <v>291894</v>
      </c>
      <c r="G31" s="18">
        <f>IF(AND(F65&lt;&gt;0,291894&lt;&gt;0),IF(100*291894/(F65-0)&lt;0.005,"*",100*291894/(F65-0)),0)</f>
        <v>1.6189057469673178</v>
      </c>
    </row>
    <row r="32" spans="1:7" x14ac:dyDescent="0.2">
      <c r="A32" s="11" t="s">
        <v>137</v>
      </c>
      <c r="B32" s="17">
        <v>91428</v>
      </c>
      <c r="C32" s="17">
        <v>0</v>
      </c>
      <c r="D32" s="17">
        <v>96605</v>
      </c>
      <c r="E32" s="17">
        <v>96605</v>
      </c>
      <c r="F32" s="17">
        <v>108673</v>
      </c>
      <c r="G32" s="18">
        <f>IF(AND(F65&lt;&gt;0,108673&lt;&gt;0),IF(100*108673/(F65-0)&lt;0.005,"*",100*108673/(F65-0)),0)</f>
        <v>0.60272340041309291</v>
      </c>
    </row>
    <row r="33" spans="1:7" x14ac:dyDescent="0.2">
      <c r="A33" s="11" t="s">
        <v>138</v>
      </c>
      <c r="B33" s="17">
        <v>87084</v>
      </c>
      <c r="C33" s="17">
        <v>0</v>
      </c>
      <c r="D33" s="17">
        <v>92167</v>
      </c>
      <c r="E33" s="17">
        <v>92167</v>
      </c>
      <c r="F33" s="17">
        <v>81441</v>
      </c>
      <c r="G33" s="18">
        <f>IF(AND(F65&lt;&gt;0,81441&lt;&gt;0),IF(100*81441/(F65-0)&lt;0.005,"*",100*81441/(F65-0)),0)</f>
        <v>0.45168897935128965</v>
      </c>
    </row>
    <row r="34" spans="1:7" x14ac:dyDescent="0.2">
      <c r="A34" s="11" t="s">
        <v>139</v>
      </c>
      <c r="B34" s="17">
        <v>78194</v>
      </c>
      <c r="C34" s="17">
        <v>0</v>
      </c>
      <c r="D34" s="17">
        <v>83404</v>
      </c>
      <c r="E34" s="17">
        <v>83404</v>
      </c>
      <c r="F34" s="17">
        <v>73884</v>
      </c>
      <c r="G34" s="18">
        <f>IF(AND(F65&lt;&gt;0,73884&lt;&gt;0),IF(100*73884/(F65-0)&lt;0.005,"*",100*73884/(F65-0)),0)</f>
        <v>0.40977626196130551</v>
      </c>
    </row>
    <row r="35" spans="1:7" x14ac:dyDescent="0.2">
      <c r="A35" s="11" t="s">
        <v>140</v>
      </c>
      <c r="B35" s="17">
        <v>44854</v>
      </c>
      <c r="C35" s="17">
        <v>0</v>
      </c>
      <c r="D35" s="17">
        <v>47372</v>
      </c>
      <c r="E35" s="17">
        <v>47372</v>
      </c>
      <c r="F35" s="17">
        <v>52758</v>
      </c>
      <c r="G35" s="18">
        <f>IF(AND(F65&lt;&gt;0,52758&lt;&gt;0),IF(100*52758/(F65-0)&lt;0.005,"*",100*52758/(F65-0)),0)</f>
        <v>0.29260700596278705</v>
      </c>
    </row>
    <row r="36" spans="1:7" x14ac:dyDescent="0.2">
      <c r="A36" s="11" t="s">
        <v>141</v>
      </c>
      <c r="B36" s="17">
        <v>519667</v>
      </c>
      <c r="C36" s="17">
        <v>0</v>
      </c>
      <c r="D36" s="17">
        <v>548839</v>
      </c>
      <c r="E36" s="17">
        <v>548839</v>
      </c>
      <c r="F36" s="17">
        <v>542976</v>
      </c>
      <c r="G36" s="18">
        <f>IF(AND(F65&lt;&gt;0,542976&lt;&gt;0),IF(100*542976/(F65-0)&lt;0.005,"*",100*542976/(F65-0)),0)</f>
        <v>3.0114595259420418</v>
      </c>
    </row>
    <row r="37" spans="1:7" x14ac:dyDescent="0.2">
      <c r="A37" s="11" t="s">
        <v>142</v>
      </c>
      <c r="B37" s="17">
        <v>101350</v>
      </c>
      <c r="C37" s="17">
        <v>0</v>
      </c>
      <c r="D37" s="17">
        <v>107040</v>
      </c>
      <c r="E37" s="17">
        <v>107040</v>
      </c>
      <c r="F37" s="17">
        <v>101529</v>
      </c>
      <c r="G37" s="18">
        <f>IF(AND(F65&lt;&gt;0,101529&lt;&gt;0),IF(100*101529/(F65-0)&lt;0.005,"*",100*101529/(F65-0)),0)</f>
        <v>0.563101268213272</v>
      </c>
    </row>
    <row r="38" spans="1:7" x14ac:dyDescent="0.2">
      <c r="A38" s="11" t="s">
        <v>143</v>
      </c>
      <c r="B38" s="17">
        <v>1473123</v>
      </c>
      <c r="C38" s="17">
        <v>0</v>
      </c>
      <c r="D38" s="17">
        <v>1555817</v>
      </c>
      <c r="E38" s="17">
        <v>1555817</v>
      </c>
      <c r="F38" s="17">
        <v>1497405</v>
      </c>
      <c r="G38" s="18">
        <f>IF(AND(F65&lt;&gt;0,1497405&lt;&gt;0),IF(100*1497405/(F65-0)&lt;0.005,"*",100*1497405/(F65-0)),0)</f>
        <v>8.30492425345364</v>
      </c>
    </row>
    <row r="39" spans="1:7" x14ac:dyDescent="0.2">
      <c r="A39" s="11" t="s">
        <v>144</v>
      </c>
      <c r="B39" s="17">
        <v>500692</v>
      </c>
      <c r="C39" s="17">
        <v>0</v>
      </c>
      <c r="D39" s="17">
        <v>528799</v>
      </c>
      <c r="E39" s="17">
        <v>528799</v>
      </c>
      <c r="F39" s="17">
        <v>639568</v>
      </c>
      <c r="G39" s="18">
        <f>IF(AND(F65&lt;&gt;0,639568&lt;&gt;0),IF(100*639568/(F65-0)&lt;0.005,"*",100*639568/(F65-0)),0)</f>
        <v>3.5471791498845251</v>
      </c>
    </row>
    <row r="40" spans="1:7" x14ac:dyDescent="0.2">
      <c r="A40" s="11" t="s">
        <v>145</v>
      </c>
      <c r="B40" s="17">
        <v>26680</v>
      </c>
      <c r="C40" s="17">
        <v>0</v>
      </c>
      <c r="D40" s="17">
        <v>28532</v>
      </c>
      <c r="E40" s="17">
        <v>28532</v>
      </c>
      <c r="F40" s="17">
        <v>27060</v>
      </c>
      <c r="G40" s="18">
        <f>IF(AND(F65&lt;&gt;0,27060&lt;&gt;0),IF(100*27060/(F65-0)&lt;0.005,"*",100*27060/(F65-0)),0)</f>
        <v>0.15008047275016143</v>
      </c>
    </row>
    <row r="41" spans="1:7" x14ac:dyDescent="0.2">
      <c r="A41" s="11" t="s">
        <v>146</v>
      </c>
      <c r="B41" s="17">
        <v>520821</v>
      </c>
      <c r="C41" s="17">
        <v>0</v>
      </c>
      <c r="D41" s="17">
        <v>550058</v>
      </c>
      <c r="E41" s="17">
        <v>550058</v>
      </c>
      <c r="F41" s="17">
        <v>482911</v>
      </c>
      <c r="G41" s="18">
        <f>IF(AND(F65&lt;&gt;0,482911&lt;&gt;0),IF(100*482911/(F65-0)&lt;0.005,"*",100*482911/(F65-0)),0)</f>
        <v>2.6783263553678198</v>
      </c>
    </row>
    <row r="42" spans="1:7" x14ac:dyDescent="0.2">
      <c r="A42" s="11" t="s">
        <v>147</v>
      </c>
      <c r="B42" s="17">
        <v>233625</v>
      </c>
      <c r="C42" s="17">
        <v>0</v>
      </c>
      <c r="D42" s="17">
        <v>246739</v>
      </c>
      <c r="E42" s="17">
        <v>246739</v>
      </c>
      <c r="F42" s="17">
        <v>243805</v>
      </c>
      <c r="G42" s="18">
        <f>IF(AND(F65&lt;&gt;0,243805&lt;&gt;0),IF(100*243805/(F65-0)&lt;0.005,"*",100*243805/(F65-0)),0)</f>
        <v>1.352194000696715</v>
      </c>
    </row>
    <row r="43" spans="1:7" x14ac:dyDescent="0.2">
      <c r="A43" s="11" t="s">
        <v>148</v>
      </c>
      <c r="B43" s="17">
        <v>370148</v>
      </c>
      <c r="C43" s="17">
        <v>0</v>
      </c>
      <c r="D43" s="17">
        <v>511303</v>
      </c>
      <c r="E43" s="17">
        <v>511303</v>
      </c>
      <c r="F43" s="17">
        <v>475312</v>
      </c>
      <c r="G43" s="18">
        <f>IF(AND(F65&lt;&gt;0,475312&lt;&gt;0),IF(100*475312/(F65-0)&lt;0.005,"*",100*475312/(F65-0)),0)</f>
        <v>2.6361806971110395</v>
      </c>
    </row>
    <row r="44" spans="1:7" x14ac:dyDescent="0.2">
      <c r="A44" s="11" t="s">
        <v>149</v>
      </c>
      <c r="B44" s="17">
        <v>668188</v>
      </c>
      <c r="C44" s="17">
        <v>0</v>
      </c>
      <c r="D44" s="17">
        <v>705698</v>
      </c>
      <c r="E44" s="17">
        <v>705698</v>
      </c>
      <c r="F44" s="17">
        <v>675623</v>
      </c>
      <c r="G44" s="18">
        <f>IF(AND(F65&lt;&gt;0,675623&lt;&gt;0),IF(100*675623/(F65-0)&lt;0.005,"*",100*675623/(F65-0)),0)</f>
        <v>3.7471477916068854</v>
      </c>
    </row>
    <row r="45" spans="1:7" x14ac:dyDescent="0.2">
      <c r="A45" s="11" t="s">
        <v>150</v>
      </c>
      <c r="B45" s="17">
        <v>92975</v>
      </c>
      <c r="C45" s="17">
        <v>0</v>
      </c>
      <c r="D45" s="17">
        <v>98195</v>
      </c>
      <c r="E45" s="17">
        <v>98195</v>
      </c>
      <c r="F45" s="17">
        <v>83951</v>
      </c>
      <c r="G45" s="18">
        <f>IF(AND(F65&lt;&gt;0,83951&lt;&gt;0),IF(100*83951/(F65-0)&lt;0.005,"*",100*83951/(F65-0)),0)</f>
        <v>0.46560996924792325</v>
      </c>
    </row>
    <row r="46" spans="1:7" x14ac:dyDescent="0.2">
      <c r="A46" s="11" t="s">
        <v>151</v>
      </c>
      <c r="B46" s="17">
        <v>184648</v>
      </c>
      <c r="C46" s="17">
        <v>0</v>
      </c>
      <c r="D46" s="17">
        <v>335678</v>
      </c>
      <c r="E46" s="17">
        <v>335678</v>
      </c>
      <c r="F46" s="17">
        <v>195538</v>
      </c>
      <c r="G46" s="18">
        <f>IF(AND(F65&lt;&gt;0,195538&lt;&gt;0),IF(100*195538/(F65-0)&lt;0.005,"*",100*195538/(F65-0)),0)</f>
        <v>1.0844950288477853</v>
      </c>
    </row>
    <row r="47" spans="1:7" x14ac:dyDescent="0.2">
      <c r="A47" s="11" t="s">
        <v>152</v>
      </c>
      <c r="B47" s="17">
        <v>31233</v>
      </c>
      <c r="C47" s="17">
        <v>0</v>
      </c>
      <c r="D47" s="17">
        <v>33213</v>
      </c>
      <c r="E47" s="17">
        <v>33213</v>
      </c>
      <c r="F47" s="17">
        <v>29712</v>
      </c>
      <c r="G47" s="18">
        <f>IF(AND(F65&lt;&gt;0,29712&lt;&gt;0),IF(100*29712/(F65-0)&lt;0.005,"*",100*29712/(F65-0)),0)</f>
        <v>0.16478902462501097</v>
      </c>
    </row>
    <row r="48" spans="1:7" x14ac:dyDescent="0.2">
      <c r="A48" s="11" t="s">
        <v>153</v>
      </c>
      <c r="B48" s="17">
        <v>234625</v>
      </c>
      <c r="C48" s="17">
        <v>0</v>
      </c>
      <c r="D48" s="17">
        <v>247943</v>
      </c>
      <c r="E48" s="17">
        <v>247943</v>
      </c>
      <c r="F48" s="17">
        <v>202244</v>
      </c>
      <c r="G48" s="18">
        <f>IF(AND(F65&lt;&gt;0,202244&lt;&gt;0),IF(100*202244/(F65-0)&lt;0.005,"*",100*202244/(F65-0)),0)</f>
        <v>1.121687920579588</v>
      </c>
    </row>
    <row r="49" spans="1:7" x14ac:dyDescent="0.2">
      <c r="A49" s="11" t="s">
        <v>154</v>
      </c>
      <c r="B49" s="17">
        <v>1510172</v>
      </c>
      <c r="C49" s="17">
        <v>0</v>
      </c>
      <c r="D49" s="17">
        <v>1601525</v>
      </c>
      <c r="E49" s="17">
        <v>1601525</v>
      </c>
      <c r="F49" s="17">
        <v>1397160</v>
      </c>
      <c r="G49" s="18">
        <f>IF(AND(F65&lt;&gt;0,1397160&lt;&gt;0),IF(100*1397160/(F65-0)&lt;0.005,"*",100*1397160/(F65-0)),0)</f>
        <v>7.7489443203109962</v>
      </c>
    </row>
    <row r="50" spans="1:7" x14ac:dyDescent="0.2">
      <c r="A50" s="11" t="s">
        <v>155</v>
      </c>
      <c r="B50" s="17">
        <v>135050</v>
      </c>
      <c r="C50" s="17">
        <v>0</v>
      </c>
      <c r="D50" s="17">
        <v>143321</v>
      </c>
      <c r="E50" s="17">
        <v>143321</v>
      </c>
      <c r="F50" s="17">
        <v>113796</v>
      </c>
      <c r="G50" s="18">
        <f>IF(AND(F65&lt;&gt;0,113796&lt;&gt;0),IF(100*113796/(F65-0)&lt;0.005,"*",100*113796/(F65-0)),0)</f>
        <v>0.63113663995112235</v>
      </c>
    </row>
    <row r="51" spans="1:7" x14ac:dyDescent="0.2">
      <c r="A51" s="11" t="s">
        <v>156</v>
      </c>
      <c r="B51" s="17">
        <v>28251</v>
      </c>
      <c r="C51" s="17">
        <v>0</v>
      </c>
      <c r="D51" s="17">
        <v>29836</v>
      </c>
      <c r="E51" s="17">
        <v>29836</v>
      </c>
      <c r="F51" s="17">
        <v>25453</v>
      </c>
      <c r="G51" s="18">
        <f>IF(AND(F65&lt;&gt;0,25453&lt;&gt;0),IF(100*25453/(F65-0)&lt;0.005,"*",100*25453/(F65-0)),0)</f>
        <v>0.14116771148964741</v>
      </c>
    </row>
    <row r="52" spans="1:7" x14ac:dyDescent="0.2">
      <c r="A52" s="11" t="s">
        <v>157</v>
      </c>
      <c r="B52" s="17">
        <v>378406</v>
      </c>
      <c r="C52" s="17">
        <v>0</v>
      </c>
      <c r="D52" s="17">
        <v>410270</v>
      </c>
      <c r="E52" s="17">
        <v>410270</v>
      </c>
      <c r="F52" s="17">
        <v>376176</v>
      </c>
      <c r="G52" s="18">
        <f>IF(AND(F65&lt;&gt;0,376176&lt;&gt;0),IF(100*376176/(F65-0)&lt;0.005,"*",100*376176/(F65-0)),0)</f>
        <v>2.0863515120940401</v>
      </c>
    </row>
    <row r="53" spans="1:7" x14ac:dyDescent="0.2">
      <c r="A53" s="11" t="s">
        <v>158</v>
      </c>
      <c r="B53" s="17">
        <v>236313</v>
      </c>
      <c r="C53" s="17">
        <v>0</v>
      </c>
      <c r="D53" s="17">
        <v>251250</v>
      </c>
      <c r="E53" s="17">
        <v>251250</v>
      </c>
      <c r="F53" s="17">
        <v>309804</v>
      </c>
      <c r="G53" s="18">
        <f>IF(AND(F65&lt;&gt;0,309804&lt;&gt;0),IF(100*309804/(F65-0)&lt;0.005,"*",100*309804/(F65-0)),0)</f>
        <v>1.71823838802258</v>
      </c>
    </row>
    <row r="54" spans="1:7" x14ac:dyDescent="0.2">
      <c r="A54" s="11" t="s">
        <v>159</v>
      </c>
      <c r="B54" s="17">
        <v>77391</v>
      </c>
      <c r="C54" s="17">
        <v>0</v>
      </c>
      <c r="D54" s="17">
        <v>81736</v>
      </c>
      <c r="E54" s="17">
        <v>81736</v>
      </c>
      <c r="F54" s="17">
        <v>80315</v>
      </c>
      <c r="G54" s="18">
        <f>IF(AND(F65&lt;&gt;0,80315&lt;&gt;0),IF(100*80315/(F65-0)&lt;0.005,"*",100*80315/(F65-0)),0)</f>
        <v>0.4454439456367042</v>
      </c>
    </row>
    <row r="55" spans="1:7" x14ac:dyDescent="0.2">
      <c r="A55" s="11" t="s">
        <v>160</v>
      </c>
      <c r="B55" s="17">
        <v>272798</v>
      </c>
      <c r="C55" s="17">
        <v>0</v>
      </c>
      <c r="D55" s="17">
        <v>288112</v>
      </c>
      <c r="E55" s="17">
        <v>288112</v>
      </c>
      <c r="F55" s="17">
        <v>232075</v>
      </c>
      <c r="G55" s="18">
        <f>IF(AND(F65&lt;&gt;0,232075&lt;&gt;0),IF(100*232075/(F65-0)&lt;0.005,"*",100*232075/(F65-0)),0)</f>
        <v>1.2871369443271883</v>
      </c>
    </row>
    <row r="56" spans="1:7" x14ac:dyDescent="0.2">
      <c r="A56" s="11" t="s">
        <v>161</v>
      </c>
      <c r="B56" s="17">
        <v>13382</v>
      </c>
      <c r="C56" s="17">
        <v>0</v>
      </c>
      <c r="D56" s="17">
        <v>14133</v>
      </c>
      <c r="E56" s="17">
        <v>14133</v>
      </c>
      <c r="F56" s="17">
        <v>11642</v>
      </c>
      <c r="G56" s="18">
        <f>IF(AND(F65&lt;&gt;0,11642&lt;&gt;0),IF(100*11642/(F65-0)&lt;0.005,"*",100*11642/(F65-0)),0)</f>
        <v>6.4568989791477432E-2</v>
      </c>
    </row>
    <row r="57" spans="1:7" x14ac:dyDescent="0.2">
      <c r="A57" s="11" t="s">
        <v>162</v>
      </c>
      <c r="B57" s="17">
        <v>4832</v>
      </c>
      <c r="C57" s="17">
        <v>0</v>
      </c>
      <c r="D57" s="17">
        <v>5103</v>
      </c>
      <c r="E57" s="17">
        <v>5103</v>
      </c>
      <c r="F57" s="17">
        <v>5389</v>
      </c>
      <c r="G57" s="18">
        <f>IF(AND(F65&lt;&gt;0,5389&lt;&gt;0),IF(100*5389/(F65-0)&lt;0.005,"*",100*5389/(F65-0)),0)</f>
        <v>2.9888531694405765E-2</v>
      </c>
    </row>
    <row r="58" spans="1:7" x14ac:dyDescent="0.2">
      <c r="A58" s="11" t="s">
        <v>163</v>
      </c>
      <c r="B58" s="17">
        <v>32227</v>
      </c>
      <c r="C58" s="17">
        <v>0</v>
      </c>
      <c r="D58" s="17">
        <v>34036</v>
      </c>
      <c r="E58" s="17">
        <v>34036</v>
      </c>
      <c r="F58" s="17">
        <v>35947</v>
      </c>
      <c r="G58" s="18">
        <f>IF(AND(F65&lt;&gt;0,35947&lt;&gt;0),IF(100*35947/(F65-0)&lt;0.005,"*",100*35947/(F65-0)),0)</f>
        <v>0.1993696509220271</v>
      </c>
    </row>
    <row r="59" spans="1:7" x14ac:dyDescent="0.2">
      <c r="A59" s="11" t="s">
        <v>164</v>
      </c>
      <c r="B59" s="17">
        <v>11196</v>
      </c>
      <c r="C59" s="17">
        <v>0</v>
      </c>
      <c r="D59" s="17">
        <v>11825</v>
      </c>
      <c r="E59" s="17">
        <v>11825</v>
      </c>
      <c r="F59" s="17">
        <v>12489</v>
      </c>
      <c r="G59" s="18">
        <f>IF(AND(F65&lt;&gt;0,12489&lt;&gt;0),IF(100*12489/(F65-0)&lt;0.005,"*",100*12489/(F65-0)),0)</f>
        <v>6.9266630605201995E-2</v>
      </c>
    </row>
    <row r="60" spans="1:7" x14ac:dyDescent="0.2">
      <c r="A60" s="11" t="s">
        <v>165</v>
      </c>
      <c r="B60" s="17">
        <v>182575</v>
      </c>
      <c r="C60" s="17">
        <v>0</v>
      </c>
      <c r="D60" s="17">
        <v>192824</v>
      </c>
      <c r="E60" s="17">
        <v>192824</v>
      </c>
      <c r="F60" s="17">
        <v>93276</v>
      </c>
      <c r="G60" s="18">
        <f>IF(AND(F65&lt;&gt;0,93276&lt;&gt;0),IF(100*93276/(F65-0)&lt;0.005,"*",100*93276/(F65-0)),0)</f>
        <v>0.517328387887807</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10948</v>
      </c>
      <c r="C62" s="17">
        <v>0</v>
      </c>
      <c r="D62" s="17">
        <v>11562</v>
      </c>
      <c r="E62" s="17">
        <v>11562</v>
      </c>
      <c r="F62" s="17">
        <v>15705</v>
      </c>
      <c r="G62" s="18">
        <f>IF(AND(F65&lt;&gt;0,15705&lt;&gt;0),IF(100*15705/(F65-0)&lt;0.005,"*",100*15705/(F65-0)),0)</f>
        <v>8.7103245548458441E-2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0</v>
      </c>
      <c r="C64" s="17">
        <v>0</v>
      </c>
      <c r="D64" s="17">
        <v>0</v>
      </c>
      <c r="E64" s="17">
        <v>0</v>
      </c>
      <c r="F64" s="17">
        <v>0</v>
      </c>
      <c r="G64" s="18">
        <v>0</v>
      </c>
    </row>
    <row r="65" spans="1:7" ht="15" customHeight="1" x14ac:dyDescent="0.2">
      <c r="A65" s="19" t="s">
        <v>110</v>
      </c>
      <c r="B65" s="20">
        <f>396288+30418+251666+167790+3038425+298414+101405+37871+49217+793192+444313+63149+78353+392710+261535+130026+119145+218000+373254+37049+316638+724570+273742+129392+257202+278965+91428+87084+78194+44854+519667+101350+1473123+500692+26680+520821+233625+370148+668188+92975+184648+31233+234625+1510172+135050+28251+378406+236313+77391+272798+13382+4832+32227+11196+182575+0+10948+0+0+0</f>
        <v>17415605</v>
      </c>
      <c r="C65" s="20">
        <f>0+0+0+0+0+0+0+0+0+0+0+0+0+0+0+0+0+0+0+0+0+0+0+0+0+0+0+0+0+0+0+0+0+0+0+0+0+0+0+0+0+0+0+0+0+0+0+0+0+0+0+0+0+0+0+0+0+0+0+0</f>
        <v>0</v>
      </c>
      <c r="D65" s="20">
        <f>434621+32126+266358+177209+3208988+315358+107097+40021+52802+842520+469255+66694+83343+414755+276216+146382+125833+230237+394207+39129+334413+765244+289108+137017+271641+294625+96605+92167+83404+47372+548839+107040+1555817+528799+28532+550058+246739+511303+705698+98195+335678+33213+247943+1601525+143321+29836+410270+251250+81736+288112+14133+5103+34036+11825+192824+0+11562+0+0+0</f>
        <v>18708134</v>
      </c>
      <c r="E65" s="20">
        <f>SUM(C65:D65)</f>
        <v>18708134</v>
      </c>
      <c r="F65" s="20">
        <f>449678+38042+259226+204765+3283458+321772+83957+38836+82631+854727+429237+51059+99948+358125+243120+147231+150835+232613+425460+33334+334671+709071+295751+125587+261682+291894+108673+81441+73884+52758+542976+101529+1497405+639568+27060+482911+243805+475312+675623+83951+195538+29712+202244+1397160+113796+25453+376176+309804+80315+232075+11642+5389+35947+12489+93276+0+15705+0+0+0</f>
        <v>18030327</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73"/>
  <sheetViews>
    <sheetView workbookViewId="0"/>
  </sheetViews>
  <sheetFormatPr defaultRowHeight="12.75" x14ac:dyDescent="0.2"/>
  <cols>
    <col min="1" max="1" width="30.7109375" customWidth="1"/>
    <col min="2" max="7" width="11.7109375" customWidth="1"/>
    <col min="11" max="11" width="10.5703125" customWidth="1"/>
    <col min="12" max="12" width="11.140625" customWidth="1"/>
  </cols>
  <sheetData>
    <row r="1" spans="1:7" ht="38.25" customHeight="1" x14ac:dyDescent="0.2">
      <c r="A1" s="12" t="s">
        <v>283</v>
      </c>
      <c r="B1" s="10"/>
      <c r="C1" s="10"/>
      <c r="D1" s="10"/>
      <c r="E1" s="10"/>
      <c r="F1" s="10"/>
      <c r="G1" s="12" t="s">
        <v>286</v>
      </c>
    </row>
    <row r="2" spans="1:7" x14ac:dyDescent="0.2">
      <c r="A2" s="13" t="s">
        <v>287</v>
      </c>
      <c r="B2" s="14"/>
      <c r="C2" s="14"/>
      <c r="D2" s="14"/>
      <c r="E2" s="14"/>
      <c r="F2" s="14"/>
      <c r="G2" s="14"/>
    </row>
    <row r="3" spans="1:7" x14ac:dyDescent="0.2">
      <c r="A3" s="14" t="s">
        <v>102</v>
      </c>
      <c r="B3" s="14"/>
      <c r="C3" s="14"/>
      <c r="D3" s="14"/>
      <c r="E3" s="14"/>
      <c r="F3" s="14"/>
      <c r="G3" s="14"/>
    </row>
    <row r="4" spans="1:7" ht="12.75" customHeight="1" x14ac:dyDescent="0.2">
      <c r="A4" s="76" t="s">
        <v>103</v>
      </c>
      <c r="B4" s="78" t="s">
        <v>104</v>
      </c>
      <c r="C4" s="25" t="s">
        <v>105</v>
      </c>
      <c r="D4" s="25"/>
      <c r="E4" s="25"/>
      <c r="F4" s="78" t="s">
        <v>106</v>
      </c>
      <c r="G4" s="80" t="s">
        <v>107</v>
      </c>
    </row>
    <row r="5" spans="1:7" ht="25.5" customHeight="1" x14ac:dyDescent="0.2">
      <c r="A5" s="77"/>
      <c r="B5" s="79"/>
      <c r="C5" s="26" t="s">
        <v>108</v>
      </c>
      <c r="D5" s="26" t="s">
        <v>109</v>
      </c>
      <c r="E5" s="26" t="s">
        <v>110</v>
      </c>
      <c r="F5" s="79"/>
      <c r="G5" s="81"/>
    </row>
    <row r="6" spans="1:7" x14ac:dyDescent="0.2">
      <c r="A6" s="11" t="s">
        <v>111</v>
      </c>
      <c r="B6" s="27">
        <v>4374830</v>
      </c>
      <c r="C6" s="27">
        <v>0</v>
      </c>
      <c r="D6" s="27">
        <v>4798073</v>
      </c>
      <c r="E6" s="27">
        <v>4798073</v>
      </c>
      <c r="F6" s="27">
        <v>5063654</v>
      </c>
      <c r="G6" s="28">
        <v>1.1016834614636613</v>
      </c>
    </row>
    <row r="7" spans="1:7" x14ac:dyDescent="0.2">
      <c r="A7" s="11" t="s">
        <v>112</v>
      </c>
      <c r="B7" s="27">
        <v>1627974</v>
      </c>
      <c r="C7" s="27">
        <v>0</v>
      </c>
      <c r="D7" s="27">
        <v>1775359</v>
      </c>
      <c r="E7" s="27">
        <v>1775359</v>
      </c>
      <c r="F7" s="27">
        <v>1858131</v>
      </c>
      <c r="G7" s="28">
        <v>0.40426778605586683</v>
      </c>
    </row>
    <row r="8" spans="1:7" x14ac:dyDescent="0.2">
      <c r="A8" s="11" t="s">
        <v>113</v>
      </c>
      <c r="B8" s="27">
        <v>10318779</v>
      </c>
      <c r="C8" s="27">
        <v>0</v>
      </c>
      <c r="D8" s="27">
        <v>10727829</v>
      </c>
      <c r="E8" s="27">
        <v>10727829</v>
      </c>
      <c r="F8" s="27">
        <v>11535020</v>
      </c>
      <c r="G8" s="28">
        <v>2.5096384471870632</v>
      </c>
    </row>
    <row r="9" spans="1:7" x14ac:dyDescent="0.2">
      <c r="A9" s="11" t="s">
        <v>114</v>
      </c>
      <c r="B9" s="27">
        <v>5502868</v>
      </c>
      <c r="C9" s="27">
        <v>0</v>
      </c>
      <c r="D9" s="27">
        <v>5616522</v>
      </c>
      <c r="E9" s="27">
        <v>5616522</v>
      </c>
      <c r="F9" s="27">
        <v>5836993</v>
      </c>
      <c r="G9" s="28">
        <v>1.2699364239300632</v>
      </c>
    </row>
    <row r="10" spans="1:7" ht="15" x14ac:dyDescent="0.2">
      <c r="A10" s="11" t="s">
        <v>115</v>
      </c>
      <c r="B10" s="29" t="s">
        <v>445</v>
      </c>
      <c r="C10" s="27">
        <v>0</v>
      </c>
      <c r="D10" s="27">
        <v>63728887</v>
      </c>
      <c r="E10" s="27">
        <v>63728887</v>
      </c>
      <c r="F10" s="27">
        <v>62481378</v>
      </c>
      <c r="G10" s="28">
        <v>13.593879201078796</v>
      </c>
    </row>
    <row r="11" spans="1:7" x14ac:dyDescent="0.2">
      <c r="A11" s="11" t="s">
        <v>116</v>
      </c>
      <c r="B11" s="27">
        <v>5521554</v>
      </c>
      <c r="C11" s="27">
        <v>0</v>
      </c>
      <c r="D11" s="27">
        <v>5796624</v>
      </c>
      <c r="E11" s="27">
        <v>5796624</v>
      </c>
      <c r="F11" s="27">
        <v>5809471</v>
      </c>
      <c r="G11" s="28">
        <v>1.2639485479364816</v>
      </c>
    </row>
    <row r="12" spans="1:7" x14ac:dyDescent="0.2">
      <c r="A12" s="11" t="s">
        <v>117</v>
      </c>
      <c r="B12" s="27">
        <v>5058411</v>
      </c>
      <c r="C12" s="27">
        <v>0</v>
      </c>
      <c r="D12" s="27">
        <v>5296308</v>
      </c>
      <c r="E12" s="27">
        <v>5296308</v>
      </c>
      <c r="F12" s="27">
        <v>5259989</v>
      </c>
      <c r="G12" s="28">
        <v>1.1443994571471079</v>
      </c>
    </row>
    <row r="13" spans="1:7" x14ac:dyDescent="0.2">
      <c r="A13" s="11" t="s">
        <v>118</v>
      </c>
      <c r="B13" s="27">
        <v>1528039</v>
      </c>
      <c r="C13" s="27">
        <v>0</v>
      </c>
      <c r="D13" s="27">
        <v>1641294</v>
      </c>
      <c r="E13" s="27">
        <v>1641294</v>
      </c>
      <c r="F13" s="27">
        <v>1710698</v>
      </c>
      <c r="G13" s="28">
        <v>0.37219124651071384</v>
      </c>
    </row>
    <row r="14" spans="1:7" x14ac:dyDescent="0.2">
      <c r="A14" s="11" t="s">
        <v>119</v>
      </c>
      <c r="B14" s="27">
        <v>2273815</v>
      </c>
      <c r="C14" s="27">
        <v>0</v>
      </c>
      <c r="D14" s="27">
        <v>2325170</v>
      </c>
      <c r="E14" s="27">
        <v>2325170</v>
      </c>
      <c r="F14" s="27">
        <v>2480719</v>
      </c>
      <c r="G14" s="28">
        <v>0.53972232203042947</v>
      </c>
    </row>
    <row r="15" spans="1:7" x14ac:dyDescent="0.2">
      <c r="A15" s="11" t="s">
        <v>120</v>
      </c>
      <c r="B15" s="27">
        <v>15301471</v>
      </c>
      <c r="C15" s="27">
        <v>0</v>
      </c>
      <c r="D15" s="27">
        <v>16799910</v>
      </c>
      <c r="E15" s="27">
        <v>16799910</v>
      </c>
      <c r="F15" s="27">
        <v>17486983</v>
      </c>
      <c r="G15" s="28">
        <v>3.8045885366567695</v>
      </c>
    </row>
    <row r="16" spans="1:7" x14ac:dyDescent="0.2">
      <c r="A16" s="11" t="s">
        <v>121</v>
      </c>
      <c r="B16" s="27">
        <v>7725952</v>
      </c>
      <c r="C16" s="27">
        <v>0</v>
      </c>
      <c r="D16" s="27">
        <v>7961297</v>
      </c>
      <c r="E16" s="27">
        <v>7961297</v>
      </c>
      <c r="F16" s="27">
        <v>8118467</v>
      </c>
      <c r="G16" s="28">
        <v>1.7663096306221762</v>
      </c>
    </row>
    <row r="17" spans="1:7" x14ac:dyDescent="0.2">
      <c r="A17" s="11" t="s">
        <v>122</v>
      </c>
      <c r="B17" s="27">
        <v>1466754</v>
      </c>
      <c r="C17" s="27">
        <v>0</v>
      </c>
      <c r="D17" s="27">
        <v>1426259</v>
      </c>
      <c r="E17" s="27">
        <v>1426259</v>
      </c>
      <c r="F17" s="27">
        <v>1367397</v>
      </c>
      <c r="G17" s="28">
        <v>0.29750031502054169</v>
      </c>
    </row>
    <row r="18" spans="1:7" x14ac:dyDescent="0.2">
      <c r="A18" s="11" t="s">
        <v>123</v>
      </c>
      <c r="B18" s="27">
        <v>1604141</v>
      </c>
      <c r="C18" s="27">
        <v>0</v>
      </c>
      <c r="D18" s="27">
        <v>2011388</v>
      </c>
      <c r="E18" s="27">
        <v>2011388</v>
      </c>
      <c r="F18" s="27">
        <v>2102862</v>
      </c>
      <c r="G18" s="28">
        <v>0.45751314903040324</v>
      </c>
    </row>
    <row r="19" spans="1:7" x14ac:dyDescent="0.2">
      <c r="A19" s="11" t="s">
        <v>124</v>
      </c>
      <c r="B19" s="27">
        <v>11498126</v>
      </c>
      <c r="C19" s="27">
        <v>0</v>
      </c>
      <c r="D19" s="27">
        <v>12152340</v>
      </c>
      <c r="E19" s="27">
        <v>12152340</v>
      </c>
      <c r="F19" s="27">
        <v>12186178</v>
      </c>
      <c r="G19" s="28">
        <v>2.6513088692577171</v>
      </c>
    </row>
    <row r="20" spans="1:7" x14ac:dyDescent="0.2">
      <c r="A20" s="11" t="s">
        <v>125</v>
      </c>
      <c r="B20" s="27">
        <v>9240467</v>
      </c>
      <c r="C20" s="27">
        <v>0</v>
      </c>
      <c r="D20" s="27">
        <v>11367527</v>
      </c>
      <c r="E20" s="27">
        <v>11367527</v>
      </c>
      <c r="F20" s="27">
        <v>10651426</v>
      </c>
      <c r="G20" s="28">
        <v>2.3173976470754201</v>
      </c>
    </row>
    <row r="21" spans="1:7" x14ac:dyDescent="0.2">
      <c r="A21" s="11" t="s">
        <v>126</v>
      </c>
      <c r="B21" s="27">
        <v>3541669</v>
      </c>
      <c r="C21" s="27">
        <v>0</v>
      </c>
      <c r="D21" s="27">
        <v>4064129</v>
      </c>
      <c r="E21" s="27">
        <v>4064129</v>
      </c>
      <c r="F21" s="27">
        <v>3916162</v>
      </c>
      <c r="G21" s="28">
        <v>0.85202719376411862</v>
      </c>
    </row>
    <row r="22" spans="1:7" x14ac:dyDescent="0.2">
      <c r="A22" s="11" t="s">
        <v>127</v>
      </c>
      <c r="B22" s="27">
        <v>2189481</v>
      </c>
      <c r="C22" s="27">
        <v>0</v>
      </c>
      <c r="D22" s="27">
        <v>2540713</v>
      </c>
      <c r="E22" s="27">
        <v>2540713</v>
      </c>
      <c r="F22" s="27">
        <v>3275466</v>
      </c>
      <c r="G22" s="28">
        <v>0.71263295651451153</v>
      </c>
    </row>
    <row r="23" spans="1:7" x14ac:dyDescent="0.2">
      <c r="A23" s="11" t="s">
        <v>128</v>
      </c>
      <c r="B23" s="27">
        <v>8175973</v>
      </c>
      <c r="C23" s="27">
        <v>0</v>
      </c>
      <c r="D23" s="27">
        <v>9569819</v>
      </c>
      <c r="E23" s="27">
        <v>9569819</v>
      </c>
      <c r="F23" s="27">
        <v>9836286</v>
      </c>
      <c r="G23" s="28">
        <v>2.1400501709687414</v>
      </c>
    </row>
    <row r="24" spans="1:7" x14ac:dyDescent="0.2">
      <c r="A24" s="11" t="s">
        <v>129</v>
      </c>
      <c r="B24" s="27">
        <v>8697690</v>
      </c>
      <c r="C24" s="27">
        <v>0</v>
      </c>
      <c r="D24" s="27">
        <v>9607932</v>
      </c>
      <c r="E24" s="27">
        <v>9607932</v>
      </c>
      <c r="F24" s="27">
        <v>9991889</v>
      </c>
      <c r="G24" s="28">
        <v>2.1739042320191468</v>
      </c>
    </row>
    <row r="25" spans="1:7" x14ac:dyDescent="0.2">
      <c r="A25" s="11" t="s">
        <v>130</v>
      </c>
      <c r="B25" s="27">
        <v>1988688</v>
      </c>
      <c r="C25" s="27">
        <v>0</v>
      </c>
      <c r="D25" s="27">
        <v>2402792</v>
      </c>
      <c r="E25" s="27">
        <v>2402792</v>
      </c>
      <c r="F25" s="27">
        <v>2421340</v>
      </c>
      <c r="G25" s="28">
        <v>0.52680341756771321</v>
      </c>
    </row>
    <row r="26" spans="1:7" x14ac:dyDescent="0.2">
      <c r="A26" s="11" t="s">
        <v>131</v>
      </c>
      <c r="B26" s="27">
        <v>7407719</v>
      </c>
      <c r="C26" s="27">
        <v>0</v>
      </c>
      <c r="D26" s="27">
        <v>7391491</v>
      </c>
      <c r="E26" s="27">
        <v>7391491</v>
      </c>
      <c r="F26" s="27">
        <v>7478728</v>
      </c>
      <c r="G26" s="28">
        <v>1.6271236048879334</v>
      </c>
    </row>
    <row r="27" spans="1:7" x14ac:dyDescent="0.2">
      <c r="A27" s="11" t="s">
        <v>132</v>
      </c>
      <c r="B27" s="27">
        <v>10386402</v>
      </c>
      <c r="C27" s="27">
        <v>0</v>
      </c>
      <c r="D27" s="27">
        <v>11586231</v>
      </c>
      <c r="E27" s="27">
        <v>11586231</v>
      </c>
      <c r="F27" s="27">
        <v>11633981</v>
      </c>
      <c r="G27" s="28">
        <v>2.5311690843573569</v>
      </c>
    </row>
    <row r="28" spans="1:7" x14ac:dyDescent="0.2">
      <c r="A28" s="11" t="s">
        <v>133</v>
      </c>
      <c r="B28" s="27">
        <v>13476324</v>
      </c>
      <c r="C28" s="27">
        <v>0</v>
      </c>
      <c r="D28" s="27">
        <v>14205599</v>
      </c>
      <c r="E28" s="27">
        <v>14205599</v>
      </c>
      <c r="F28" s="27">
        <v>14731321</v>
      </c>
      <c r="G28" s="28">
        <v>3.2050477207195285</v>
      </c>
    </row>
    <row r="29" spans="1:7" x14ac:dyDescent="0.2">
      <c r="A29" s="11" t="s">
        <v>134</v>
      </c>
      <c r="B29" s="27">
        <v>7701626</v>
      </c>
      <c r="C29" s="27">
        <v>0</v>
      </c>
      <c r="D29" s="27">
        <v>8683394</v>
      </c>
      <c r="E29" s="27">
        <v>8683394</v>
      </c>
      <c r="F29" s="27">
        <v>8841522</v>
      </c>
      <c r="G29" s="28">
        <v>1.9236224595059443</v>
      </c>
    </row>
    <row r="30" spans="1:7" x14ac:dyDescent="0.2">
      <c r="A30" s="11" t="s">
        <v>135</v>
      </c>
      <c r="B30" s="27">
        <v>4330970</v>
      </c>
      <c r="C30" s="27">
        <v>0</v>
      </c>
      <c r="D30" s="27">
        <v>4535154</v>
      </c>
      <c r="E30" s="27">
        <v>4535154</v>
      </c>
      <c r="F30" s="27">
        <v>4755553</v>
      </c>
      <c r="G30" s="28">
        <v>1.0346508845616029</v>
      </c>
    </row>
    <row r="31" spans="1:7" x14ac:dyDescent="0.2">
      <c r="A31" s="11" t="s">
        <v>136</v>
      </c>
      <c r="B31" s="27">
        <v>7188633</v>
      </c>
      <c r="C31" s="27">
        <v>0</v>
      </c>
      <c r="D31" s="27">
        <v>7459768</v>
      </c>
      <c r="E31" s="27">
        <v>7459768</v>
      </c>
      <c r="F31" s="27">
        <v>7595079</v>
      </c>
      <c r="G31" s="28">
        <v>1.6524377303050253</v>
      </c>
    </row>
    <row r="32" spans="1:7" x14ac:dyDescent="0.2">
      <c r="A32" s="11" t="s">
        <v>137</v>
      </c>
      <c r="B32" s="27">
        <v>1506199</v>
      </c>
      <c r="C32" s="27">
        <v>0</v>
      </c>
      <c r="D32" s="27">
        <v>1570847</v>
      </c>
      <c r="E32" s="27">
        <v>1570847</v>
      </c>
      <c r="F32" s="27">
        <v>1636887</v>
      </c>
      <c r="G32" s="28">
        <v>0.35613241666687101</v>
      </c>
    </row>
    <row r="33" spans="1:7" x14ac:dyDescent="0.2">
      <c r="A33" s="11" t="s">
        <v>138</v>
      </c>
      <c r="B33" s="27">
        <v>1217420</v>
      </c>
      <c r="C33" s="27">
        <v>0</v>
      </c>
      <c r="D33" s="27">
        <v>1382149</v>
      </c>
      <c r="E33" s="27">
        <v>1382149</v>
      </c>
      <c r="F33" s="27">
        <v>1798757</v>
      </c>
      <c r="G33" s="28">
        <v>0.39134996942760913</v>
      </c>
    </row>
    <row r="34" spans="1:7" x14ac:dyDescent="0.2">
      <c r="A34" s="11" t="s">
        <v>139</v>
      </c>
      <c r="B34" s="27">
        <v>3083534</v>
      </c>
      <c r="C34" s="27">
        <v>0</v>
      </c>
      <c r="D34" s="27">
        <v>3201992</v>
      </c>
      <c r="E34" s="27">
        <v>3201992</v>
      </c>
      <c r="F34" s="27">
        <v>3094560</v>
      </c>
      <c r="G34" s="28">
        <v>0.67327380040322415</v>
      </c>
    </row>
    <row r="35" spans="1:7" x14ac:dyDescent="0.2">
      <c r="A35" s="11" t="s">
        <v>140</v>
      </c>
      <c r="B35" s="27">
        <v>1198947</v>
      </c>
      <c r="C35" s="27">
        <v>0</v>
      </c>
      <c r="D35" s="27">
        <v>1285310</v>
      </c>
      <c r="E35" s="27">
        <v>1285310</v>
      </c>
      <c r="F35" s="27">
        <v>1316099</v>
      </c>
      <c r="G35" s="28">
        <v>0.28633956860971604</v>
      </c>
    </row>
    <row r="36" spans="1:7" x14ac:dyDescent="0.2">
      <c r="A36" s="11" t="s">
        <v>141</v>
      </c>
      <c r="B36" s="27">
        <v>9953431</v>
      </c>
      <c r="C36" s="27">
        <v>0</v>
      </c>
      <c r="D36" s="27">
        <v>10324962</v>
      </c>
      <c r="E36" s="27">
        <v>10324962</v>
      </c>
      <c r="F36" s="27">
        <v>10681302</v>
      </c>
      <c r="G36" s="28">
        <v>2.3238976755320815</v>
      </c>
    </row>
    <row r="37" spans="1:7" x14ac:dyDescent="0.2">
      <c r="A37" s="11" t="s">
        <v>142</v>
      </c>
      <c r="B37" s="27">
        <v>4303472</v>
      </c>
      <c r="C37" s="27">
        <v>0</v>
      </c>
      <c r="D37" s="27">
        <v>5234838</v>
      </c>
      <c r="E37" s="27">
        <v>5234838</v>
      </c>
      <c r="F37" s="27">
        <v>5410986</v>
      </c>
      <c r="G37" s="28">
        <v>1.1772514050943075</v>
      </c>
    </row>
    <row r="38" spans="1:7" x14ac:dyDescent="0.2">
      <c r="A38" s="11" t="s">
        <v>143</v>
      </c>
      <c r="B38" s="27">
        <v>42373210</v>
      </c>
      <c r="C38" s="27">
        <v>0</v>
      </c>
      <c r="D38" s="27">
        <v>47759237</v>
      </c>
      <c r="E38" s="27">
        <v>47759237</v>
      </c>
      <c r="F38" s="27">
        <v>48585670</v>
      </c>
      <c r="G38" s="28">
        <v>10.570633203439879</v>
      </c>
    </row>
    <row r="39" spans="1:7" x14ac:dyDescent="0.2">
      <c r="A39" s="11" t="s">
        <v>144</v>
      </c>
      <c r="B39" s="27">
        <v>9699171</v>
      </c>
      <c r="C39" s="27">
        <v>0</v>
      </c>
      <c r="D39" s="27">
        <v>10511204</v>
      </c>
      <c r="E39" s="27">
        <v>10511204</v>
      </c>
      <c r="F39" s="27">
        <v>10506386</v>
      </c>
      <c r="G39" s="28">
        <v>2.285841745102124</v>
      </c>
    </row>
    <row r="40" spans="1:7" x14ac:dyDescent="0.2">
      <c r="A40" s="11" t="s">
        <v>145</v>
      </c>
      <c r="B40" s="27">
        <v>779781</v>
      </c>
      <c r="C40" s="27">
        <v>0</v>
      </c>
      <c r="D40" s="27">
        <v>850163</v>
      </c>
      <c r="E40" s="27">
        <v>850163</v>
      </c>
      <c r="F40" s="27">
        <v>873554</v>
      </c>
      <c r="G40" s="28">
        <v>0.19005642851889704</v>
      </c>
    </row>
    <row r="41" spans="1:7" x14ac:dyDescent="0.2">
      <c r="A41" s="11" t="s">
        <v>146</v>
      </c>
      <c r="B41" s="27">
        <v>16630159</v>
      </c>
      <c r="C41" s="27">
        <v>0</v>
      </c>
      <c r="D41" s="27">
        <v>18138259</v>
      </c>
      <c r="E41" s="27">
        <v>18138259</v>
      </c>
      <c r="F41" s="27">
        <v>19162496</v>
      </c>
      <c r="G41" s="28">
        <v>4.1691246920827449</v>
      </c>
    </row>
    <row r="42" spans="1:7" x14ac:dyDescent="0.2">
      <c r="A42" s="11" t="s">
        <v>147</v>
      </c>
      <c r="B42" s="27">
        <v>3195905</v>
      </c>
      <c r="C42" s="27">
        <v>0</v>
      </c>
      <c r="D42" s="27">
        <v>3562491</v>
      </c>
      <c r="E42" s="27">
        <v>3562491</v>
      </c>
      <c r="F42" s="27">
        <v>3853418</v>
      </c>
      <c r="G42" s="28">
        <v>0.83837617671080578</v>
      </c>
    </row>
    <row r="43" spans="1:7" x14ac:dyDescent="0.2">
      <c r="A43" s="11" t="s">
        <v>148</v>
      </c>
      <c r="B43" s="27">
        <v>7245419</v>
      </c>
      <c r="C43" s="27">
        <v>0</v>
      </c>
      <c r="D43" s="27">
        <v>8011013</v>
      </c>
      <c r="E43" s="27">
        <v>8011013</v>
      </c>
      <c r="F43" s="27">
        <v>8343426</v>
      </c>
      <c r="G43" s="28">
        <v>1.8152532610138665</v>
      </c>
    </row>
    <row r="44" spans="1:7" x14ac:dyDescent="0.2">
      <c r="A44" s="11" t="s">
        <v>149</v>
      </c>
      <c r="B44" s="27">
        <v>19266813</v>
      </c>
      <c r="C44" s="27">
        <v>0</v>
      </c>
      <c r="D44" s="27">
        <v>21162686</v>
      </c>
      <c r="E44" s="27">
        <v>21162686</v>
      </c>
      <c r="F44" s="27">
        <v>21220959</v>
      </c>
      <c r="G44" s="28">
        <v>4.6169780886882146</v>
      </c>
    </row>
    <row r="45" spans="1:7" x14ac:dyDescent="0.2">
      <c r="A45" s="11" t="s">
        <v>150</v>
      </c>
      <c r="B45" s="27">
        <v>1678591</v>
      </c>
      <c r="C45" s="27">
        <v>0</v>
      </c>
      <c r="D45" s="27">
        <v>1502030</v>
      </c>
      <c r="E45" s="27">
        <v>1502030</v>
      </c>
      <c r="F45" s="27">
        <v>1555711</v>
      </c>
      <c r="G45" s="28">
        <v>0.33847120666560032</v>
      </c>
    </row>
    <row r="46" spans="1:7" x14ac:dyDescent="0.2">
      <c r="A46" s="11" t="s">
        <v>151</v>
      </c>
      <c r="B46" s="27">
        <v>4747256</v>
      </c>
      <c r="C46" s="27">
        <v>0</v>
      </c>
      <c r="D46" s="27">
        <v>4814339</v>
      </c>
      <c r="E46" s="27">
        <v>4814339</v>
      </c>
      <c r="F46" s="27">
        <v>4752604</v>
      </c>
      <c r="G46" s="28">
        <v>1.0340092797979565</v>
      </c>
    </row>
    <row r="47" spans="1:7" x14ac:dyDescent="0.2">
      <c r="A47" s="11" t="s">
        <v>152</v>
      </c>
      <c r="B47" s="27">
        <v>581879</v>
      </c>
      <c r="C47" s="27">
        <v>0</v>
      </c>
      <c r="D47" s="27">
        <v>649467</v>
      </c>
      <c r="E47" s="27">
        <v>649467</v>
      </c>
      <c r="F47" s="27">
        <v>682143</v>
      </c>
      <c r="G47" s="28">
        <v>0.14841173221021939</v>
      </c>
    </row>
    <row r="48" spans="1:7" x14ac:dyDescent="0.2">
      <c r="A48" s="11" t="s">
        <v>153</v>
      </c>
      <c r="B48" s="27">
        <v>7168469</v>
      </c>
      <c r="C48" s="27">
        <v>0</v>
      </c>
      <c r="D48" s="27">
        <v>8312257</v>
      </c>
      <c r="E48" s="27">
        <v>8312257</v>
      </c>
      <c r="F48" s="27">
        <v>8776314</v>
      </c>
      <c r="G48" s="28">
        <v>1.9094353576314633</v>
      </c>
    </row>
    <row r="49" spans="1:7" x14ac:dyDescent="0.2">
      <c r="A49" s="11" t="s">
        <v>154</v>
      </c>
      <c r="B49" s="27">
        <v>24254323</v>
      </c>
      <c r="C49" s="27">
        <v>0</v>
      </c>
      <c r="D49" s="27">
        <v>26384397</v>
      </c>
      <c r="E49" s="27">
        <v>26384397</v>
      </c>
      <c r="F49" s="27">
        <v>27538034</v>
      </c>
      <c r="G49" s="28">
        <v>5.9913644611231316</v>
      </c>
    </row>
    <row r="50" spans="1:7" x14ac:dyDescent="0.2">
      <c r="A50" s="11" t="s">
        <v>155</v>
      </c>
      <c r="B50" s="27">
        <v>2022162</v>
      </c>
      <c r="C50" s="27">
        <v>0</v>
      </c>
      <c r="D50" s="27">
        <v>2245857</v>
      </c>
      <c r="E50" s="27">
        <v>2245857</v>
      </c>
      <c r="F50" s="27">
        <v>2282131</v>
      </c>
      <c r="G50" s="28">
        <v>0.49651614813996503</v>
      </c>
    </row>
    <row r="51" spans="1:7" x14ac:dyDescent="0.2">
      <c r="A51" s="11" t="s">
        <v>156</v>
      </c>
      <c r="B51" s="27">
        <v>1079258</v>
      </c>
      <c r="C51" s="27">
        <v>0</v>
      </c>
      <c r="D51" s="27">
        <v>1109055</v>
      </c>
      <c r="E51" s="27">
        <v>1109055</v>
      </c>
      <c r="F51" s="27">
        <v>1075070</v>
      </c>
      <c r="G51" s="28">
        <v>0.23389963826828181</v>
      </c>
    </row>
    <row r="52" spans="1:7" x14ac:dyDescent="0.2">
      <c r="A52" s="11" t="s">
        <v>157</v>
      </c>
      <c r="B52" s="27">
        <v>2776475</v>
      </c>
      <c r="C52" s="27">
        <v>0</v>
      </c>
      <c r="D52" s="27">
        <v>9554161</v>
      </c>
      <c r="E52" s="27">
        <v>9554161</v>
      </c>
      <c r="F52" s="27">
        <v>10295895</v>
      </c>
      <c r="G52" s="28">
        <v>2.2400458724996617</v>
      </c>
    </row>
    <row r="53" spans="1:7" ht="15" x14ac:dyDescent="0.2">
      <c r="A53" s="11" t="s">
        <v>158</v>
      </c>
      <c r="B53" s="29" t="s">
        <v>446</v>
      </c>
      <c r="C53" s="27">
        <v>0</v>
      </c>
      <c r="D53" s="27">
        <v>9069170</v>
      </c>
      <c r="E53" s="27">
        <v>9069170</v>
      </c>
      <c r="F53" s="27">
        <v>9069170</v>
      </c>
      <c r="G53" s="28">
        <v>1.9731511272694366</v>
      </c>
    </row>
    <row r="54" spans="1:7" x14ac:dyDescent="0.2">
      <c r="A54" s="11" t="s">
        <v>159</v>
      </c>
      <c r="B54" s="27">
        <v>3225046</v>
      </c>
      <c r="C54" s="27">
        <v>0</v>
      </c>
      <c r="D54" s="27">
        <v>3377342</v>
      </c>
      <c r="E54" s="27">
        <v>3377342</v>
      </c>
      <c r="F54" s="27">
        <v>3551649</v>
      </c>
      <c r="G54" s="28">
        <v>0.77272123336704102</v>
      </c>
    </row>
    <row r="55" spans="1:7" x14ac:dyDescent="0.2">
      <c r="A55" s="11" t="s">
        <v>160</v>
      </c>
      <c r="B55" s="27">
        <v>5701464</v>
      </c>
      <c r="C55" s="27">
        <v>0</v>
      </c>
      <c r="D55" s="27">
        <v>5939841</v>
      </c>
      <c r="E55" s="27">
        <v>5939841</v>
      </c>
      <c r="F55" s="27">
        <v>6078338</v>
      </c>
      <c r="G55" s="28">
        <v>1.3224451054092772</v>
      </c>
    </row>
    <row r="56" spans="1:7" x14ac:dyDescent="0.2">
      <c r="A56" s="11" t="s">
        <v>161</v>
      </c>
      <c r="B56" s="27">
        <v>364945</v>
      </c>
      <c r="C56" s="27">
        <v>0</v>
      </c>
      <c r="D56" s="27">
        <v>389711</v>
      </c>
      <c r="E56" s="27">
        <v>389711</v>
      </c>
      <c r="F56" s="27">
        <v>397064</v>
      </c>
      <c r="G56" s="28">
        <v>8.6387980289057503E-2</v>
      </c>
    </row>
    <row r="57" spans="1:7" ht="15" x14ac:dyDescent="0.2">
      <c r="A57" s="11" t="s">
        <v>162</v>
      </c>
      <c r="B57" s="29" t="s">
        <v>447</v>
      </c>
      <c r="C57" s="27">
        <v>0</v>
      </c>
      <c r="D57" s="27">
        <v>84000</v>
      </c>
      <c r="E57" s="27">
        <v>84000</v>
      </c>
      <c r="F57" s="27">
        <v>84000</v>
      </c>
      <c r="G57" s="28">
        <v>1.8275618903453424E-2</v>
      </c>
    </row>
    <row r="58" spans="1:7" x14ac:dyDescent="0.2">
      <c r="A58" s="11" t="s">
        <v>163</v>
      </c>
      <c r="B58" s="27">
        <v>111385</v>
      </c>
      <c r="C58" s="27">
        <v>0</v>
      </c>
      <c r="D58" s="27">
        <v>127000</v>
      </c>
      <c r="E58" s="27">
        <v>127000</v>
      </c>
      <c r="F58" s="27">
        <v>127000</v>
      </c>
      <c r="G58" s="28">
        <v>2.7630995246887915E-2</v>
      </c>
    </row>
    <row r="59" spans="1:7" x14ac:dyDescent="0.2">
      <c r="A59" s="11" t="s">
        <v>164</v>
      </c>
      <c r="B59" s="27">
        <v>49801</v>
      </c>
      <c r="C59" s="27">
        <v>0</v>
      </c>
      <c r="D59" s="27">
        <v>60000</v>
      </c>
      <c r="E59" s="27">
        <v>60000</v>
      </c>
      <c r="F59" s="27">
        <v>60000</v>
      </c>
      <c r="G59" s="28">
        <v>1.3054013502466731E-2</v>
      </c>
    </row>
    <row r="60" spans="1:7" x14ac:dyDescent="0.2">
      <c r="A60" s="11" t="s">
        <v>165</v>
      </c>
      <c r="B60" s="27">
        <v>2645565</v>
      </c>
      <c r="C60" s="27">
        <v>0</v>
      </c>
      <c r="D60" s="27">
        <v>2623188</v>
      </c>
      <c r="E60" s="27">
        <v>2623188</v>
      </c>
      <c r="F60" s="27">
        <v>2719072</v>
      </c>
      <c r="G60" s="28">
        <v>0.59158004336965364</v>
      </c>
    </row>
    <row r="61" spans="1:7" x14ac:dyDescent="0.2">
      <c r="A61" s="11" t="s">
        <v>166</v>
      </c>
      <c r="B61" s="27">
        <v>0</v>
      </c>
      <c r="C61" s="27">
        <v>0</v>
      </c>
      <c r="D61" s="27">
        <v>0</v>
      </c>
      <c r="E61" s="27">
        <v>0</v>
      </c>
      <c r="F61" s="27">
        <v>0</v>
      </c>
      <c r="G61" s="28">
        <v>0</v>
      </c>
    </row>
    <row r="62" spans="1:7" x14ac:dyDescent="0.2">
      <c r="A62" s="11" t="s">
        <v>167</v>
      </c>
      <c r="B62" s="27">
        <v>123625</v>
      </c>
      <c r="C62" s="27">
        <v>0</v>
      </c>
      <c r="D62" s="27">
        <v>126000</v>
      </c>
      <c r="E62" s="27">
        <v>126000</v>
      </c>
      <c r="F62" s="27">
        <v>126000</v>
      </c>
      <c r="G62" s="28">
        <v>2.7413428355180135E-2</v>
      </c>
    </row>
    <row r="63" spans="1:7" x14ac:dyDescent="0.2">
      <c r="A63" s="11" t="s">
        <v>168</v>
      </c>
      <c r="B63" s="27">
        <v>0</v>
      </c>
      <c r="C63" s="27">
        <v>0</v>
      </c>
      <c r="D63" s="27">
        <v>0</v>
      </c>
      <c r="E63" s="27">
        <v>0</v>
      </c>
      <c r="F63" s="27">
        <v>0</v>
      </c>
      <c r="G63" s="28">
        <v>0</v>
      </c>
    </row>
    <row r="64" spans="1:7" x14ac:dyDescent="0.2">
      <c r="A64" s="11" t="s">
        <v>169</v>
      </c>
      <c r="B64" s="27">
        <v>55116767</v>
      </c>
      <c r="C64" s="27">
        <v>0</v>
      </c>
      <c r="D64" s="27">
        <v>25313771</v>
      </c>
      <c r="E64" s="27">
        <v>25313771</v>
      </c>
      <c r="F64" s="27">
        <v>30007648</v>
      </c>
      <c r="G64" s="28">
        <v>0</v>
      </c>
    </row>
    <row r="65" spans="1:7" x14ac:dyDescent="0.2">
      <c r="A65" s="11" t="s">
        <v>288</v>
      </c>
      <c r="B65" s="27">
        <v>277472</v>
      </c>
      <c r="C65" s="27">
        <v>0</v>
      </c>
      <c r="D65" s="27">
        <v>286750</v>
      </c>
      <c r="E65" s="27">
        <v>286750</v>
      </c>
      <c r="F65" s="27">
        <v>297000</v>
      </c>
      <c r="G65" s="28">
        <v>6.4617366837210324E-2</v>
      </c>
    </row>
    <row r="66" spans="1:7" x14ac:dyDescent="0.2">
      <c r="A66" s="11" t="s">
        <v>289</v>
      </c>
      <c r="B66" s="27">
        <v>270750</v>
      </c>
      <c r="C66" s="27">
        <v>0</v>
      </c>
      <c r="D66" s="27">
        <v>290000</v>
      </c>
      <c r="E66" s="27">
        <v>290000</v>
      </c>
      <c r="F66" s="27">
        <v>299000</v>
      </c>
      <c r="G66" s="28">
        <v>6.5052500620625869E-2</v>
      </c>
    </row>
    <row r="67" spans="1:7" x14ac:dyDescent="0.2">
      <c r="A67" s="11" t="s">
        <v>290</v>
      </c>
      <c r="B67" s="27">
        <v>4160865</v>
      </c>
      <c r="C67" s="27">
        <v>0</v>
      </c>
      <c r="D67" s="27">
        <v>4417691</v>
      </c>
      <c r="E67" s="27">
        <v>4417691</v>
      </c>
      <c r="F67" s="27">
        <v>4951369</v>
      </c>
      <c r="G67" s="28">
        <v>1.0772539630282532</v>
      </c>
    </row>
    <row r="68" spans="1:7" ht="15" customHeight="1" x14ac:dyDescent="0.2">
      <c r="A68" s="30" t="s">
        <v>110</v>
      </c>
      <c r="B68" s="31">
        <f>4374830+1627974+10318779+5502868+56720417+5521554+5058411+1528039+2273815+15301471+7725952+1466754+1604141+11498126+9240467+3541669+2189481+8175973+8697690+1988688+7407719+10386402+13476324+7701626+4330970+7188633+1506199+1217420+3083534+1198947+9953431+4303472+42373210+9699171+779781+16630159+3195905+7245419+19266813+1678591+4747256+581879+7168469+24254323+2022162+1079258+2776475+6517016+3225046+5701464+364945+37706+111385+49801+2645565+0+123625+0+55116767+277472+270750+4160865+0</f>
        <v>458213054</v>
      </c>
      <c r="C68" s="31">
        <f>0+0+0+0+0+0+0+0+0+0+0+0+0+0+0+0+0+0+0+0+0+0+0+0+0+0+0+0+0+0+0+0+0+0+0+0+0+0+0+0+0+0+0+0+0+0+0+0+0+0+0+0+0+0+0+0+0+0+0+0+0+0+0</f>
        <v>0</v>
      </c>
      <c r="D68" s="31">
        <f>4798073+1775359+10727829+5616522+63728887+5796624+5296308+1641294+2325170+16799910+7961297+1426259+2011388+12152340+11367527+4064129+2540713+9569819+9607932+2402792+7391491+11586231+14205599+8683394+4535154+7459768+1570847+1382149+3201992+1285310+10324962+5234838+47759237+10511204+850163+18138259+3562491+8011013+21162686+1502030+4814339+649467+8312257+26384397+2245857+1109055+9554161+9069170+3377342+5939841+389711+84000+127000+60000+2623188+0+126000+0+25313771+286750+290000+4417691+0</f>
        <v>475142987</v>
      </c>
      <c r="E68" s="33" t="s">
        <v>454</v>
      </c>
      <c r="F68" s="33" t="s">
        <v>453</v>
      </c>
      <c r="G68" s="32" t="s">
        <v>452</v>
      </c>
    </row>
    <row r="69" spans="1:7" ht="15" customHeight="1" x14ac:dyDescent="0.2">
      <c r="A69" s="82" t="s">
        <v>171</v>
      </c>
      <c r="B69" s="82"/>
      <c r="C69" s="82"/>
      <c r="D69" s="82"/>
      <c r="E69" s="82"/>
      <c r="F69" s="82"/>
      <c r="G69" s="82"/>
    </row>
    <row r="70" spans="1:7" ht="15" customHeight="1" x14ac:dyDescent="0.2">
      <c r="A70" s="67" t="s">
        <v>448</v>
      </c>
      <c r="B70" s="67"/>
      <c r="C70" s="67"/>
      <c r="D70" s="67"/>
      <c r="E70" s="67"/>
      <c r="F70" s="67"/>
      <c r="G70" s="67"/>
    </row>
    <row r="71" spans="1:7" ht="15" customHeight="1" x14ac:dyDescent="0.2">
      <c r="A71" s="67" t="s">
        <v>449</v>
      </c>
      <c r="B71" s="67"/>
      <c r="C71" s="67"/>
      <c r="D71" s="67"/>
      <c r="E71" s="67"/>
      <c r="F71" s="67"/>
      <c r="G71" s="67"/>
    </row>
    <row r="72" spans="1:7" ht="15" customHeight="1" x14ac:dyDescent="0.2">
      <c r="A72" s="67" t="s">
        <v>450</v>
      </c>
      <c r="B72" s="67"/>
      <c r="C72" s="67"/>
      <c r="D72" s="67"/>
      <c r="E72" s="67"/>
      <c r="F72" s="67"/>
      <c r="G72" s="67"/>
    </row>
    <row r="73" spans="1:7" ht="15" customHeight="1" x14ac:dyDescent="0.2">
      <c r="A73" s="67" t="s">
        <v>451</v>
      </c>
      <c r="B73" s="67"/>
      <c r="C73" s="67"/>
      <c r="D73" s="67"/>
      <c r="E73" s="67"/>
      <c r="F73" s="67"/>
      <c r="G73" s="67"/>
    </row>
  </sheetData>
  <mergeCells count="9">
    <mergeCell ref="A70:G70"/>
    <mergeCell ref="A73:G73"/>
    <mergeCell ref="A4:A5"/>
    <mergeCell ref="B4:B5"/>
    <mergeCell ref="F4:F5"/>
    <mergeCell ref="G4:G5"/>
    <mergeCell ref="A69:G69"/>
    <mergeCell ref="A71:G71"/>
    <mergeCell ref="A72:G7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70"/>
  <sheetViews>
    <sheetView workbookViewId="0"/>
  </sheetViews>
  <sheetFormatPr defaultRowHeight="12.75" x14ac:dyDescent="0.2"/>
  <cols>
    <col min="1" max="1" width="30.7109375" customWidth="1"/>
    <col min="2" max="7" width="11.7109375" customWidth="1"/>
  </cols>
  <sheetData>
    <row r="1" spans="1:7" ht="38.25" customHeight="1" x14ac:dyDescent="0.2">
      <c r="A1" s="12" t="s">
        <v>291</v>
      </c>
      <c r="B1" s="10"/>
      <c r="C1" s="10"/>
      <c r="D1" s="10"/>
      <c r="E1" s="10"/>
      <c r="F1" s="10"/>
      <c r="G1" s="12" t="s">
        <v>292</v>
      </c>
    </row>
    <row r="2" spans="1:7" x14ac:dyDescent="0.2">
      <c r="A2" s="13" t="s">
        <v>293</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21060</v>
      </c>
      <c r="C6" s="17">
        <v>0</v>
      </c>
      <c r="D6" s="17">
        <v>0</v>
      </c>
      <c r="E6" s="17">
        <v>0</v>
      </c>
      <c r="F6" s="17">
        <v>0</v>
      </c>
      <c r="G6" s="18">
        <f>IF(AND(F67&lt;&gt;0,0&lt;&gt;0),IF(100*0/(F67-0)&lt;0.005,"*",100*0/(F67-0)),0)</f>
        <v>0</v>
      </c>
    </row>
    <row r="7" spans="1:7" x14ac:dyDescent="0.2">
      <c r="A7" s="11" t="s">
        <v>112</v>
      </c>
      <c r="B7" s="17">
        <v>1240</v>
      </c>
      <c r="C7" s="17">
        <v>0</v>
      </c>
      <c r="D7" s="17">
        <v>0</v>
      </c>
      <c r="E7" s="17">
        <v>0</v>
      </c>
      <c r="F7" s="17">
        <v>0</v>
      </c>
      <c r="G7" s="18">
        <f>IF(AND(F67&lt;&gt;0,0&lt;&gt;0),IF(100*0/(F67-0)&lt;0.005,"*",100*0/(F67-0)),0)</f>
        <v>0</v>
      </c>
    </row>
    <row r="8" spans="1:7" x14ac:dyDescent="0.2">
      <c r="A8" s="11" t="s">
        <v>113</v>
      </c>
      <c r="B8" s="17">
        <v>19670</v>
      </c>
      <c r="C8" s="17">
        <v>0</v>
      </c>
      <c r="D8" s="17">
        <v>0</v>
      </c>
      <c r="E8" s="17">
        <v>0</v>
      </c>
      <c r="F8" s="17">
        <v>0</v>
      </c>
      <c r="G8" s="18">
        <f>IF(AND(F67&lt;&gt;0,0&lt;&gt;0),IF(100*0/(F67-0)&lt;0.005,"*",100*0/(F67-0)),0)</f>
        <v>0</v>
      </c>
    </row>
    <row r="9" spans="1:7" x14ac:dyDescent="0.2">
      <c r="A9" s="11" t="s">
        <v>114</v>
      </c>
      <c r="B9" s="17">
        <v>8034</v>
      </c>
      <c r="C9" s="17">
        <v>0</v>
      </c>
      <c r="D9" s="17">
        <v>0</v>
      </c>
      <c r="E9" s="17">
        <v>0</v>
      </c>
      <c r="F9" s="17">
        <v>0</v>
      </c>
      <c r="G9" s="18">
        <f>IF(AND(F67&lt;&gt;0,0&lt;&gt;0),IF(100*0/(F67-0)&lt;0.005,"*",100*0/(F67-0)),0)</f>
        <v>0</v>
      </c>
    </row>
    <row r="10" spans="1:7" x14ac:dyDescent="0.2">
      <c r="A10" s="11" t="s">
        <v>115</v>
      </c>
      <c r="B10" s="17">
        <v>156380</v>
      </c>
      <c r="C10" s="17">
        <v>0</v>
      </c>
      <c r="D10" s="17">
        <v>0</v>
      </c>
      <c r="E10" s="17">
        <v>0</v>
      </c>
      <c r="F10" s="17">
        <v>0</v>
      </c>
      <c r="G10" s="18">
        <f>IF(AND(F67&lt;&gt;0,0&lt;&gt;0),IF(100*0/(F67-0)&lt;0.005,"*",100*0/(F67-0)),0)</f>
        <v>0</v>
      </c>
    </row>
    <row r="11" spans="1:7" x14ac:dyDescent="0.2">
      <c r="A11" s="11" t="s">
        <v>116</v>
      </c>
      <c r="B11" s="17">
        <v>13174</v>
      </c>
      <c r="C11" s="17">
        <v>0</v>
      </c>
      <c r="D11" s="17">
        <v>0</v>
      </c>
      <c r="E11" s="17">
        <v>0</v>
      </c>
      <c r="F11" s="17">
        <v>0</v>
      </c>
      <c r="G11" s="18">
        <f>IF(AND(F67&lt;&gt;0,0&lt;&gt;0),IF(100*0/(F67-0)&lt;0.005,"*",100*0/(F67-0)),0)</f>
        <v>0</v>
      </c>
    </row>
    <row r="12" spans="1:7" x14ac:dyDescent="0.2">
      <c r="A12" s="11" t="s">
        <v>117</v>
      </c>
      <c r="B12" s="17">
        <v>11282</v>
      </c>
      <c r="C12" s="17">
        <v>0</v>
      </c>
      <c r="D12" s="17">
        <v>0</v>
      </c>
      <c r="E12" s="17">
        <v>0</v>
      </c>
      <c r="F12" s="17">
        <v>0</v>
      </c>
      <c r="G12" s="18">
        <f>IF(AND(F67&lt;&gt;0,0&lt;&gt;0),IF(100*0/(F67-0)&lt;0.005,"*",100*0/(F67-0)),0)</f>
        <v>0</v>
      </c>
    </row>
    <row r="13" spans="1:7" x14ac:dyDescent="0.2">
      <c r="A13" s="11" t="s">
        <v>118</v>
      </c>
      <c r="B13" s="17">
        <v>5221</v>
      </c>
      <c r="C13" s="17">
        <v>0</v>
      </c>
      <c r="D13" s="17">
        <v>0</v>
      </c>
      <c r="E13" s="17">
        <v>0</v>
      </c>
      <c r="F13" s="17">
        <v>0</v>
      </c>
      <c r="G13" s="18">
        <f>IF(AND(F67&lt;&gt;0,0&lt;&gt;0),IF(100*0/(F67-0)&lt;0.005,"*",100*0/(F67-0)),0)</f>
        <v>0</v>
      </c>
    </row>
    <row r="14" spans="1:7" x14ac:dyDescent="0.2">
      <c r="A14" s="11" t="s">
        <v>119</v>
      </c>
      <c r="B14" s="17">
        <v>14150</v>
      </c>
      <c r="C14" s="17">
        <v>0</v>
      </c>
      <c r="D14" s="17">
        <v>0</v>
      </c>
      <c r="E14" s="17">
        <v>0</v>
      </c>
      <c r="F14" s="17">
        <v>0</v>
      </c>
      <c r="G14" s="18">
        <f>IF(AND(F67&lt;&gt;0,0&lt;&gt;0),IF(100*0/(F67-0)&lt;0.005,"*",100*0/(F67-0)),0)</f>
        <v>0</v>
      </c>
    </row>
    <row r="15" spans="1:7" x14ac:dyDescent="0.2">
      <c r="A15" s="11" t="s">
        <v>120</v>
      </c>
      <c r="B15" s="17">
        <v>136692</v>
      </c>
      <c r="C15" s="17">
        <v>0</v>
      </c>
      <c r="D15" s="17">
        <v>0</v>
      </c>
      <c r="E15" s="17">
        <v>0</v>
      </c>
      <c r="F15" s="17">
        <v>0</v>
      </c>
      <c r="G15" s="18">
        <f>IF(AND(F67&lt;&gt;0,0&lt;&gt;0),IF(100*0/(F67-0)&lt;0.005,"*",100*0/(F67-0)),0)</f>
        <v>0</v>
      </c>
    </row>
    <row r="16" spans="1:7" x14ac:dyDescent="0.2">
      <c r="A16" s="11" t="s">
        <v>121</v>
      </c>
      <c r="B16" s="17">
        <v>73135</v>
      </c>
      <c r="C16" s="17">
        <v>0</v>
      </c>
      <c r="D16" s="17">
        <v>0</v>
      </c>
      <c r="E16" s="17">
        <v>0</v>
      </c>
      <c r="F16" s="17">
        <v>0</v>
      </c>
      <c r="G16" s="18">
        <f>IF(AND(F67&lt;&gt;0,0&lt;&gt;0),IF(100*0/(F67-0)&lt;0.005,"*",100*0/(F67-0)),0)</f>
        <v>0</v>
      </c>
    </row>
    <row r="17" spans="1:7" x14ac:dyDescent="0.2">
      <c r="A17" s="11" t="s">
        <v>122</v>
      </c>
      <c r="B17" s="17">
        <v>3723</v>
      </c>
      <c r="C17" s="17">
        <v>0</v>
      </c>
      <c r="D17" s="17">
        <v>0</v>
      </c>
      <c r="E17" s="17">
        <v>0</v>
      </c>
      <c r="F17" s="17">
        <v>0</v>
      </c>
      <c r="G17" s="18">
        <f>IF(AND(F67&lt;&gt;0,0&lt;&gt;0),IF(100*0/(F67-0)&lt;0.005,"*",100*0/(F67-0)),0)</f>
        <v>0</v>
      </c>
    </row>
    <row r="18" spans="1:7" x14ac:dyDescent="0.2">
      <c r="A18" s="11" t="s">
        <v>123</v>
      </c>
      <c r="B18" s="17">
        <v>6703</v>
      </c>
      <c r="C18" s="17">
        <v>0</v>
      </c>
      <c r="D18" s="17">
        <v>0</v>
      </c>
      <c r="E18" s="17">
        <v>0</v>
      </c>
      <c r="F18" s="17">
        <v>0</v>
      </c>
      <c r="G18" s="18">
        <f>IF(AND(F67&lt;&gt;0,0&lt;&gt;0),IF(100*0/(F67-0)&lt;0.005,"*",100*0/(F67-0)),0)</f>
        <v>0</v>
      </c>
    </row>
    <row r="19" spans="1:7" x14ac:dyDescent="0.2">
      <c r="A19" s="11" t="s">
        <v>124</v>
      </c>
      <c r="B19" s="17">
        <v>45700</v>
      </c>
      <c r="C19" s="17">
        <v>0</v>
      </c>
      <c r="D19" s="17">
        <v>0</v>
      </c>
      <c r="E19" s="17">
        <v>0</v>
      </c>
      <c r="F19" s="17">
        <v>0</v>
      </c>
      <c r="G19" s="18">
        <f>IF(AND(F67&lt;&gt;0,0&lt;&gt;0),IF(100*0/(F67-0)&lt;0.005,"*",100*0/(F67-0)),0)</f>
        <v>0</v>
      </c>
    </row>
    <row r="20" spans="1:7" x14ac:dyDescent="0.2">
      <c r="A20" s="11" t="s">
        <v>125</v>
      </c>
      <c r="B20" s="17">
        <v>17190</v>
      </c>
      <c r="C20" s="17">
        <v>0</v>
      </c>
      <c r="D20" s="17">
        <v>0</v>
      </c>
      <c r="E20" s="17">
        <v>0</v>
      </c>
      <c r="F20" s="17">
        <v>0</v>
      </c>
      <c r="G20" s="18">
        <f>IF(AND(F67&lt;&gt;0,0&lt;&gt;0),IF(100*0/(F67-0)&lt;0.005,"*",100*0/(F67-0)),0)</f>
        <v>0</v>
      </c>
    </row>
    <row r="21" spans="1:7" x14ac:dyDescent="0.2">
      <c r="A21" s="11" t="s">
        <v>126</v>
      </c>
      <c r="B21" s="17">
        <v>11919</v>
      </c>
      <c r="C21" s="17">
        <v>0</v>
      </c>
      <c r="D21" s="17">
        <v>0</v>
      </c>
      <c r="E21" s="17">
        <v>0</v>
      </c>
      <c r="F21" s="17">
        <v>0</v>
      </c>
      <c r="G21" s="18">
        <f>IF(AND(F67&lt;&gt;0,0&lt;&gt;0),IF(100*0/(F67-0)&lt;0.005,"*",100*0/(F67-0)),0)</f>
        <v>0</v>
      </c>
    </row>
    <row r="22" spans="1:7" x14ac:dyDescent="0.2">
      <c r="A22" s="11" t="s">
        <v>127</v>
      </c>
      <c r="B22" s="17">
        <v>7186</v>
      </c>
      <c r="C22" s="17">
        <v>0</v>
      </c>
      <c r="D22" s="17">
        <v>0</v>
      </c>
      <c r="E22" s="17">
        <v>0</v>
      </c>
      <c r="F22" s="17">
        <v>0</v>
      </c>
      <c r="G22" s="18">
        <f>IF(AND(F67&lt;&gt;0,0&lt;&gt;0),IF(100*0/(F67-0)&lt;0.005,"*",100*0/(F67-0)),0)</f>
        <v>0</v>
      </c>
    </row>
    <row r="23" spans="1:7" x14ac:dyDescent="0.2">
      <c r="A23" s="11" t="s">
        <v>128</v>
      </c>
      <c r="B23" s="17">
        <v>9913</v>
      </c>
      <c r="C23" s="17">
        <v>0</v>
      </c>
      <c r="D23" s="17">
        <v>0</v>
      </c>
      <c r="E23" s="17">
        <v>0</v>
      </c>
      <c r="F23" s="17">
        <v>0</v>
      </c>
      <c r="G23" s="18">
        <f>IF(AND(F67&lt;&gt;0,0&lt;&gt;0),IF(100*0/(F67-0)&lt;0.005,"*",100*0/(F67-0)),0)</f>
        <v>0</v>
      </c>
    </row>
    <row r="24" spans="1:7" x14ac:dyDescent="0.2">
      <c r="A24" s="11" t="s">
        <v>129</v>
      </c>
      <c r="B24" s="17">
        <v>24049</v>
      </c>
      <c r="C24" s="17">
        <v>0</v>
      </c>
      <c r="D24" s="17">
        <v>0</v>
      </c>
      <c r="E24" s="17">
        <v>0</v>
      </c>
      <c r="F24" s="17">
        <v>0</v>
      </c>
      <c r="G24" s="18">
        <f>IF(AND(F67&lt;&gt;0,0&lt;&gt;0),IF(100*0/(F67-0)&lt;0.005,"*",100*0/(F67-0)),0)</f>
        <v>0</v>
      </c>
    </row>
    <row r="25" spans="1:7" x14ac:dyDescent="0.2">
      <c r="A25" s="11" t="s">
        <v>130</v>
      </c>
      <c r="B25" s="17">
        <v>2550</v>
      </c>
      <c r="C25" s="17">
        <v>0</v>
      </c>
      <c r="D25" s="17">
        <v>0</v>
      </c>
      <c r="E25" s="17">
        <v>0</v>
      </c>
      <c r="F25" s="17">
        <v>0</v>
      </c>
      <c r="G25" s="18">
        <f>IF(AND(F67&lt;&gt;0,0&lt;&gt;0),IF(100*0/(F67-0)&lt;0.005,"*",100*0/(F67-0)),0)</f>
        <v>0</v>
      </c>
    </row>
    <row r="26" spans="1:7" x14ac:dyDescent="0.2">
      <c r="A26" s="11" t="s">
        <v>131</v>
      </c>
      <c r="B26" s="17">
        <v>40173</v>
      </c>
      <c r="C26" s="17">
        <v>0</v>
      </c>
      <c r="D26" s="17">
        <v>0</v>
      </c>
      <c r="E26" s="17">
        <v>0</v>
      </c>
      <c r="F26" s="17">
        <v>0</v>
      </c>
      <c r="G26" s="18">
        <f>IF(AND(F67&lt;&gt;0,0&lt;&gt;0),IF(100*0/(F67-0)&lt;0.005,"*",100*0/(F67-0)),0)</f>
        <v>0</v>
      </c>
    </row>
    <row r="27" spans="1:7" x14ac:dyDescent="0.2">
      <c r="A27" s="11" t="s">
        <v>132</v>
      </c>
      <c r="B27" s="17">
        <v>23877</v>
      </c>
      <c r="C27" s="17">
        <v>0</v>
      </c>
      <c r="D27" s="17">
        <v>0</v>
      </c>
      <c r="E27" s="17">
        <v>0</v>
      </c>
      <c r="F27" s="17">
        <v>0</v>
      </c>
      <c r="G27" s="18">
        <f>IF(AND(F67&lt;&gt;0,0&lt;&gt;0),IF(100*0/(F67-0)&lt;0.005,"*",100*0/(F67-0)),0)</f>
        <v>0</v>
      </c>
    </row>
    <row r="28" spans="1:7" x14ac:dyDescent="0.2">
      <c r="A28" s="11" t="s">
        <v>133</v>
      </c>
      <c r="B28" s="17">
        <v>18702</v>
      </c>
      <c r="C28" s="17">
        <v>0</v>
      </c>
      <c r="D28" s="17">
        <v>0</v>
      </c>
      <c r="E28" s="17">
        <v>0</v>
      </c>
      <c r="F28" s="17">
        <v>0</v>
      </c>
      <c r="G28" s="18">
        <f>IF(AND(F67&lt;&gt;0,0&lt;&gt;0),IF(100*0/(F67-0)&lt;0.005,"*",100*0/(F67-0)),0)</f>
        <v>0</v>
      </c>
    </row>
    <row r="29" spans="1:7" x14ac:dyDescent="0.2">
      <c r="A29" s="11" t="s">
        <v>134</v>
      </c>
      <c r="B29" s="17">
        <v>10792</v>
      </c>
      <c r="C29" s="17">
        <v>0</v>
      </c>
      <c r="D29" s="17">
        <v>0</v>
      </c>
      <c r="E29" s="17">
        <v>0</v>
      </c>
      <c r="F29" s="17">
        <v>0</v>
      </c>
      <c r="G29" s="18">
        <f>IF(AND(F67&lt;&gt;0,0&lt;&gt;0),IF(100*0/(F67-0)&lt;0.005,"*",100*0/(F67-0)),0)</f>
        <v>0</v>
      </c>
    </row>
    <row r="30" spans="1:7" x14ac:dyDescent="0.2">
      <c r="A30" s="11" t="s">
        <v>135</v>
      </c>
      <c r="B30" s="17">
        <v>18822</v>
      </c>
      <c r="C30" s="17">
        <v>0</v>
      </c>
      <c r="D30" s="17">
        <v>0</v>
      </c>
      <c r="E30" s="17">
        <v>0</v>
      </c>
      <c r="F30" s="17">
        <v>0</v>
      </c>
      <c r="G30" s="18">
        <f>IF(AND(F67&lt;&gt;0,0&lt;&gt;0),IF(100*0/(F67-0)&lt;0.005,"*",100*0/(F67-0)),0)</f>
        <v>0</v>
      </c>
    </row>
    <row r="31" spans="1:7" x14ac:dyDescent="0.2">
      <c r="A31" s="11" t="s">
        <v>136</v>
      </c>
      <c r="B31" s="17">
        <v>13678</v>
      </c>
      <c r="C31" s="17">
        <v>0</v>
      </c>
      <c r="D31" s="17">
        <v>0</v>
      </c>
      <c r="E31" s="17">
        <v>0</v>
      </c>
      <c r="F31" s="17">
        <v>0</v>
      </c>
      <c r="G31" s="18">
        <f>IF(AND(F67&lt;&gt;0,0&lt;&gt;0),IF(100*0/(F67-0)&lt;0.005,"*",100*0/(F67-0)),0)</f>
        <v>0</v>
      </c>
    </row>
    <row r="32" spans="1:7" x14ac:dyDescent="0.2">
      <c r="A32" s="11" t="s">
        <v>137</v>
      </c>
      <c r="B32" s="17">
        <v>1259</v>
      </c>
      <c r="C32" s="17">
        <v>0</v>
      </c>
      <c r="D32" s="17">
        <v>0</v>
      </c>
      <c r="E32" s="17">
        <v>0</v>
      </c>
      <c r="F32" s="17">
        <v>0</v>
      </c>
      <c r="G32" s="18">
        <f>IF(AND(F67&lt;&gt;0,0&lt;&gt;0),IF(100*0/(F67-0)&lt;0.005,"*",100*0/(F67-0)),0)</f>
        <v>0</v>
      </c>
    </row>
    <row r="33" spans="1:7" x14ac:dyDescent="0.2">
      <c r="A33" s="11" t="s">
        <v>138</v>
      </c>
      <c r="B33" s="17">
        <v>2887</v>
      </c>
      <c r="C33" s="17">
        <v>0</v>
      </c>
      <c r="D33" s="17">
        <v>0</v>
      </c>
      <c r="E33" s="17">
        <v>0</v>
      </c>
      <c r="F33" s="17">
        <v>0</v>
      </c>
      <c r="G33" s="18">
        <f>IF(AND(F67&lt;&gt;0,0&lt;&gt;0),IF(100*0/(F67-0)&lt;0.005,"*",100*0/(F67-0)),0)</f>
        <v>0</v>
      </c>
    </row>
    <row r="34" spans="1:7" x14ac:dyDescent="0.2">
      <c r="A34" s="11" t="s">
        <v>139</v>
      </c>
      <c r="B34" s="17">
        <v>9249</v>
      </c>
      <c r="C34" s="17">
        <v>0</v>
      </c>
      <c r="D34" s="17">
        <v>0</v>
      </c>
      <c r="E34" s="17">
        <v>0</v>
      </c>
      <c r="F34" s="17">
        <v>0</v>
      </c>
      <c r="G34" s="18">
        <f>IF(AND(F67&lt;&gt;0,0&lt;&gt;0),IF(100*0/(F67-0)&lt;0.005,"*",100*0/(F67-0)),0)</f>
        <v>0</v>
      </c>
    </row>
    <row r="35" spans="1:7" x14ac:dyDescent="0.2">
      <c r="A35" s="11" t="s">
        <v>140</v>
      </c>
      <c r="B35" s="17">
        <v>1101</v>
      </c>
      <c r="C35" s="17">
        <v>0</v>
      </c>
      <c r="D35" s="17">
        <v>0</v>
      </c>
      <c r="E35" s="17">
        <v>0</v>
      </c>
      <c r="F35" s="17">
        <v>0</v>
      </c>
      <c r="G35" s="18">
        <f>IF(AND(F67&lt;&gt;0,0&lt;&gt;0),IF(100*0/(F67-0)&lt;0.005,"*",100*0/(F67-0)),0)</f>
        <v>0</v>
      </c>
    </row>
    <row r="36" spans="1:7" x14ac:dyDescent="0.2">
      <c r="A36" s="11" t="s">
        <v>141</v>
      </c>
      <c r="B36" s="17">
        <v>41566</v>
      </c>
      <c r="C36" s="17">
        <v>0</v>
      </c>
      <c r="D36" s="17">
        <v>0</v>
      </c>
      <c r="E36" s="17">
        <v>0</v>
      </c>
      <c r="F36" s="17">
        <v>0</v>
      </c>
      <c r="G36" s="18">
        <f>IF(AND(F67&lt;&gt;0,0&lt;&gt;0),IF(100*0/(F67-0)&lt;0.005,"*",100*0/(F67-0)),0)</f>
        <v>0</v>
      </c>
    </row>
    <row r="37" spans="1:7" x14ac:dyDescent="0.2">
      <c r="A37" s="11" t="s">
        <v>142</v>
      </c>
      <c r="B37" s="17">
        <v>4260</v>
      </c>
      <c r="C37" s="17">
        <v>0</v>
      </c>
      <c r="D37" s="17">
        <v>0</v>
      </c>
      <c r="E37" s="17">
        <v>0</v>
      </c>
      <c r="F37" s="17">
        <v>0</v>
      </c>
      <c r="G37" s="18">
        <f>IF(AND(F67&lt;&gt;0,0&lt;&gt;0),IF(100*0/(F67-0)&lt;0.005,"*",100*0/(F67-0)),0)</f>
        <v>0</v>
      </c>
    </row>
    <row r="38" spans="1:7" x14ac:dyDescent="0.2">
      <c r="A38" s="11" t="s">
        <v>143</v>
      </c>
      <c r="B38" s="17">
        <v>146883</v>
      </c>
      <c r="C38" s="17">
        <v>0</v>
      </c>
      <c r="D38" s="17">
        <v>0</v>
      </c>
      <c r="E38" s="17">
        <v>0</v>
      </c>
      <c r="F38" s="17">
        <v>0</v>
      </c>
      <c r="G38" s="18">
        <f>IF(AND(F67&lt;&gt;0,0&lt;&gt;0),IF(100*0/(F67-0)&lt;0.005,"*",100*0/(F67-0)),0)</f>
        <v>0</v>
      </c>
    </row>
    <row r="39" spans="1:7" x14ac:dyDescent="0.2">
      <c r="A39" s="11" t="s">
        <v>144</v>
      </c>
      <c r="B39" s="17">
        <v>41396</v>
      </c>
      <c r="C39" s="17">
        <v>0</v>
      </c>
      <c r="D39" s="17">
        <v>0</v>
      </c>
      <c r="E39" s="17">
        <v>0</v>
      </c>
      <c r="F39" s="17">
        <v>0</v>
      </c>
      <c r="G39" s="18">
        <f>IF(AND(F67&lt;&gt;0,0&lt;&gt;0),IF(100*0/(F67-0)&lt;0.005,"*",100*0/(F67-0)),0)</f>
        <v>0</v>
      </c>
    </row>
    <row r="40" spans="1:7" x14ac:dyDescent="0.2">
      <c r="A40" s="11" t="s">
        <v>145</v>
      </c>
      <c r="B40" s="17">
        <v>875</v>
      </c>
      <c r="C40" s="17">
        <v>0</v>
      </c>
      <c r="D40" s="17">
        <v>0</v>
      </c>
      <c r="E40" s="17">
        <v>0</v>
      </c>
      <c r="F40" s="17">
        <v>0</v>
      </c>
      <c r="G40" s="18">
        <f>IF(AND(F67&lt;&gt;0,0&lt;&gt;0),IF(100*0/(F67-0)&lt;0.005,"*",100*0/(F67-0)),0)</f>
        <v>0</v>
      </c>
    </row>
    <row r="41" spans="1:7" x14ac:dyDescent="0.2">
      <c r="A41" s="11" t="s">
        <v>146</v>
      </c>
      <c r="B41" s="17">
        <v>24865</v>
      </c>
      <c r="C41" s="17">
        <v>0</v>
      </c>
      <c r="D41" s="17">
        <v>0</v>
      </c>
      <c r="E41" s="17">
        <v>0</v>
      </c>
      <c r="F41" s="17">
        <v>0</v>
      </c>
      <c r="G41" s="18">
        <f>IF(AND(F67&lt;&gt;0,0&lt;&gt;0),IF(100*0/(F67-0)&lt;0.005,"*",100*0/(F67-0)),0)</f>
        <v>0</v>
      </c>
    </row>
    <row r="42" spans="1:7" x14ac:dyDescent="0.2">
      <c r="A42" s="11" t="s">
        <v>147</v>
      </c>
      <c r="B42" s="17">
        <v>8586</v>
      </c>
      <c r="C42" s="17">
        <v>0</v>
      </c>
      <c r="D42" s="17">
        <v>0</v>
      </c>
      <c r="E42" s="17">
        <v>0</v>
      </c>
      <c r="F42" s="17">
        <v>0</v>
      </c>
      <c r="G42" s="18">
        <f>IF(AND(F67&lt;&gt;0,0&lt;&gt;0),IF(100*0/(F67-0)&lt;0.005,"*",100*0/(F67-0)),0)</f>
        <v>0</v>
      </c>
    </row>
    <row r="43" spans="1:7" x14ac:dyDescent="0.2">
      <c r="A43" s="11" t="s">
        <v>148</v>
      </c>
      <c r="B43" s="17">
        <v>4116</v>
      </c>
      <c r="C43" s="17">
        <v>0</v>
      </c>
      <c r="D43" s="17">
        <v>0</v>
      </c>
      <c r="E43" s="17">
        <v>0</v>
      </c>
      <c r="F43" s="17">
        <v>0</v>
      </c>
      <c r="G43" s="18">
        <f>IF(AND(F67&lt;&gt;0,0&lt;&gt;0),IF(100*0/(F67-0)&lt;0.005,"*",100*0/(F67-0)),0)</f>
        <v>0</v>
      </c>
    </row>
    <row r="44" spans="1:7" x14ac:dyDescent="0.2">
      <c r="A44" s="11" t="s">
        <v>149</v>
      </c>
      <c r="B44" s="17">
        <v>39127</v>
      </c>
      <c r="C44" s="17">
        <v>0</v>
      </c>
      <c r="D44" s="17">
        <v>0</v>
      </c>
      <c r="E44" s="17">
        <v>0</v>
      </c>
      <c r="F44" s="17">
        <v>0</v>
      </c>
      <c r="G44" s="18">
        <f>IF(AND(F67&lt;&gt;0,0&lt;&gt;0),IF(100*0/(F67-0)&lt;0.005,"*",100*0/(F67-0)),0)</f>
        <v>0</v>
      </c>
    </row>
    <row r="45" spans="1:7" x14ac:dyDescent="0.2">
      <c r="A45" s="11" t="s">
        <v>150</v>
      </c>
      <c r="B45" s="17">
        <v>5291</v>
      </c>
      <c r="C45" s="17">
        <v>0</v>
      </c>
      <c r="D45" s="17">
        <v>0</v>
      </c>
      <c r="E45" s="17">
        <v>0</v>
      </c>
      <c r="F45" s="17">
        <v>0</v>
      </c>
      <c r="G45" s="18">
        <f>IF(AND(F67&lt;&gt;0,0&lt;&gt;0),IF(100*0/(F67-0)&lt;0.005,"*",100*0/(F67-0)),0)</f>
        <v>0</v>
      </c>
    </row>
    <row r="46" spans="1:7" x14ac:dyDescent="0.2">
      <c r="A46" s="11" t="s">
        <v>151</v>
      </c>
      <c r="B46" s="17">
        <v>30530</v>
      </c>
      <c r="C46" s="17">
        <v>0</v>
      </c>
      <c r="D46" s="17">
        <v>0</v>
      </c>
      <c r="E46" s="17">
        <v>0</v>
      </c>
      <c r="F46" s="17">
        <v>0</v>
      </c>
      <c r="G46" s="18">
        <f>IF(AND(F67&lt;&gt;0,0&lt;&gt;0),IF(100*0/(F67-0)&lt;0.005,"*",100*0/(F67-0)),0)</f>
        <v>0</v>
      </c>
    </row>
    <row r="47" spans="1:7" x14ac:dyDescent="0.2">
      <c r="A47" s="11" t="s">
        <v>152</v>
      </c>
      <c r="B47" s="17">
        <v>2019</v>
      </c>
      <c r="C47" s="17">
        <v>0</v>
      </c>
      <c r="D47" s="17">
        <v>0</v>
      </c>
      <c r="E47" s="17">
        <v>0</v>
      </c>
      <c r="F47" s="17">
        <v>0</v>
      </c>
      <c r="G47" s="18">
        <f>IF(AND(F67&lt;&gt;0,0&lt;&gt;0),IF(100*0/(F67-0)&lt;0.005,"*",100*0/(F67-0)),0)</f>
        <v>0</v>
      </c>
    </row>
    <row r="48" spans="1:7" x14ac:dyDescent="0.2">
      <c r="A48" s="11" t="s">
        <v>153</v>
      </c>
      <c r="B48" s="17">
        <v>18568</v>
      </c>
      <c r="C48" s="17">
        <v>0</v>
      </c>
      <c r="D48" s="17">
        <v>0</v>
      </c>
      <c r="E48" s="17">
        <v>0</v>
      </c>
      <c r="F48" s="17">
        <v>0</v>
      </c>
      <c r="G48" s="18">
        <f>IF(AND(F67&lt;&gt;0,0&lt;&gt;0),IF(100*0/(F67-0)&lt;0.005,"*",100*0/(F67-0)),0)</f>
        <v>0</v>
      </c>
    </row>
    <row r="49" spans="1:7" x14ac:dyDescent="0.2">
      <c r="A49" s="11" t="s">
        <v>154</v>
      </c>
      <c r="B49" s="17">
        <v>109459</v>
      </c>
      <c r="C49" s="17">
        <v>0</v>
      </c>
      <c r="D49" s="17">
        <v>0</v>
      </c>
      <c r="E49" s="17">
        <v>0</v>
      </c>
      <c r="F49" s="17">
        <v>0</v>
      </c>
      <c r="G49" s="18">
        <f>IF(AND(F67&lt;&gt;0,0&lt;&gt;0),IF(100*0/(F67-0)&lt;0.005,"*",100*0/(F67-0)),0)</f>
        <v>0</v>
      </c>
    </row>
    <row r="50" spans="1:7" x14ac:dyDescent="0.2">
      <c r="A50" s="11" t="s">
        <v>155</v>
      </c>
      <c r="B50" s="17">
        <v>6433</v>
      </c>
      <c r="C50" s="17">
        <v>0</v>
      </c>
      <c r="D50" s="17">
        <v>0</v>
      </c>
      <c r="E50" s="17">
        <v>0</v>
      </c>
      <c r="F50" s="17">
        <v>0</v>
      </c>
      <c r="G50" s="18">
        <f>IF(AND(F67&lt;&gt;0,0&lt;&gt;0),IF(100*0/(F67-0)&lt;0.005,"*",100*0/(F67-0)),0)</f>
        <v>0</v>
      </c>
    </row>
    <row r="51" spans="1:7" x14ac:dyDescent="0.2">
      <c r="A51" s="11" t="s">
        <v>156</v>
      </c>
      <c r="B51" s="17">
        <v>1234</v>
      </c>
      <c r="C51" s="17">
        <v>0</v>
      </c>
      <c r="D51" s="17">
        <v>0</v>
      </c>
      <c r="E51" s="17">
        <v>0</v>
      </c>
      <c r="F51" s="17">
        <v>0</v>
      </c>
      <c r="G51" s="18">
        <f>IF(AND(F67&lt;&gt;0,0&lt;&gt;0),IF(100*0/(F67-0)&lt;0.005,"*",100*0/(F67-0)),0)</f>
        <v>0</v>
      </c>
    </row>
    <row r="52" spans="1:7" x14ac:dyDescent="0.2">
      <c r="A52" s="11" t="s">
        <v>157</v>
      </c>
      <c r="B52" s="17">
        <v>25588</v>
      </c>
      <c r="C52" s="17">
        <v>0</v>
      </c>
      <c r="D52" s="17">
        <v>0</v>
      </c>
      <c r="E52" s="17">
        <v>0</v>
      </c>
      <c r="F52" s="17">
        <v>0</v>
      </c>
      <c r="G52" s="18">
        <f>IF(AND(F67&lt;&gt;0,0&lt;&gt;0),IF(100*0/(F67-0)&lt;0.005,"*",100*0/(F67-0)),0)</f>
        <v>0</v>
      </c>
    </row>
    <row r="53" spans="1:7" x14ac:dyDescent="0.2">
      <c r="A53" s="11" t="s">
        <v>158</v>
      </c>
      <c r="B53" s="17">
        <v>17428</v>
      </c>
      <c r="C53" s="17">
        <v>0</v>
      </c>
      <c r="D53" s="17">
        <v>0</v>
      </c>
      <c r="E53" s="17">
        <v>0</v>
      </c>
      <c r="F53" s="17">
        <v>0</v>
      </c>
      <c r="G53" s="18">
        <f>IF(AND(F67&lt;&gt;0,0&lt;&gt;0),IF(100*0/(F67-0)&lt;0.005,"*",100*0/(F67-0)),0)</f>
        <v>0</v>
      </c>
    </row>
    <row r="54" spans="1:7" x14ac:dyDescent="0.2">
      <c r="A54" s="11" t="s">
        <v>159</v>
      </c>
      <c r="B54" s="17">
        <v>5036</v>
      </c>
      <c r="C54" s="17">
        <v>0</v>
      </c>
      <c r="D54" s="17">
        <v>0</v>
      </c>
      <c r="E54" s="17">
        <v>0</v>
      </c>
      <c r="F54" s="17">
        <v>0</v>
      </c>
      <c r="G54" s="18">
        <f>IF(AND(F67&lt;&gt;0,0&lt;&gt;0),IF(100*0/(F67-0)&lt;0.005,"*",100*0/(F67-0)),0)</f>
        <v>0</v>
      </c>
    </row>
    <row r="55" spans="1:7" x14ac:dyDescent="0.2">
      <c r="A55" s="11" t="s">
        <v>160</v>
      </c>
      <c r="B55" s="17">
        <v>10674</v>
      </c>
      <c r="C55" s="17">
        <v>0</v>
      </c>
      <c r="D55" s="17">
        <v>0</v>
      </c>
      <c r="E55" s="17">
        <v>0</v>
      </c>
      <c r="F55" s="17">
        <v>0</v>
      </c>
      <c r="G55" s="18">
        <f>IF(AND(F67&lt;&gt;0,0&lt;&gt;0),IF(100*0/(F67-0)&lt;0.005,"*",100*0/(F67-0)),0)</f>
        <v>0</v>
      </c>
    </row>
    <row r="56" spans="1:7" x14ac:dyDescent="0.2">
      <c r="A56" s="11" t="s">
        <v>161</v>
      </c>
      <c r="B56" s="17">
        <v>750</v>
      </c>
      <c r="C56" s="17">
        <v>0</v>
      </c>
      <c r="D56" s="17">
        <v>0</v>
      </c>
      <c r="E56" s="17">
        <v>0</v>
      </c>
      <c r="F56" s="17">
        <v>0</v>
      </c>
      <c r="G56" s="18">
        <f>IF(AND(F67&lt;&gt;0,0&lt;&gt;0),IF(100*0/(F67-0)&lt;0.005,"*",100*0/(F67-0)),0)</f>
        <v>0</v>
      </c>
    </row>
    <row r="57" spans="1:7" x14ac:dyDescent="0.2">
      <c r="A57" s="11" t="s">
        <v>162</v>
      </c>
      <c r="B57" s="17">
        <v>51</v>
      </c>
      <c r="C57" s="17">
        <v>0</v>
      </c>
      <c r="D57" s="17">
        <v>0</v>
      </c>
      <c r="E57" s="17">
        <v>0</v>
      </c>
      <c r="F57" s="17">
        <v>0</v>
      </c>
      <c r="G57" s="18">
        <f>IF(AND(F67&lt;&gt;0,0&lt;&gt;0),IF(100*0/(F67-0)&lt;0.005,"*",100*0/(F67-0)),0)</f>
        <v>0</v>
      </c>
    </row>
    <row r="58" spans="1:7" x14ac:dyDescent="0.2">
      <c r="A58" s="11" t="s">
        <v>163</v>
      </c>
      <c r="B58" s="17">
        <v>288</v>
      </c>
      <c r="C58" s="17">
        <v>0</v>
      </c>
      <c r="D58" s="17">
        <v>0</v>
      </c>
      <c r="E58" s="17">
        <v>0</v>
      </c>
      <c r="F58" s="17">
        <v>0</v>
      </c>
      <c r="G58" s="18">
        <f>IF(AND(F67&lt;&gt;0,0&lt;&gt;0),IF(100*0/(F67-0)&lt;0.005,"*",100*0/(F67-0)),0)</f>
        <v>0</v>
      </c>
    </row>
    <row r="59" spans="1:7" x14ac:dyDescent="0.2">
      <c r="A59" s="11" t="s">
        <v>164</v>
      </c>
      <c r="B59" s="17">
        <v>64</v>
      </c>
      <c r="C59" s="17">
        <v>0</v>
      </c>
      <c r="D59" s="17">
        <v>0</v>
      </c>
      <c r="E59" s="17">
        <v>0</v>
      </c>
      <c r="F59" s="17">
        <v>0</v>
      </c>
      <c r="G59" s="18">
        <f>IF(AND(F67&lt;&gt;0,0&lt;&gt;0),IF(100*0/(F67-0)&lt;0.005,"*",100*0/(F67-0)),0)</f>
        <v>0</v>
      </c>
    </row>
    <row r="60" spans="1:7" x14ac:dyDescent="0.2">
      <c r="A60" s="11" t="s">
        <v>165</v>
      </c>
      <c r="B60" s="17">
        <v>42293</v>
      </c>
      <c r="C60" s="17">
        <v>0</v>
      </c>
      <c r="D60" s="17">
        <v>0</v>
      </c>
      <c r="E60" s="17">
        <v>0</v>
      </c>
      <c r="F60" s="17">
        <v>0</v>
      </c>
      <c r="G60" s="18">
        <f>IF(AND(F67&lt;&gt;0,0&lt;&gt;0),IF(100*0/(F67-0)&lt;0.005,"*",100*0/(F67-0)),0)</f>
        <v>0</v>
      </c>
    </row>
    <row r="61" spans="1:7" x14ac:dyDescent="0.2">
      <c r="A61" s="11" t="s">
        <v>166</v>
      </c>
      <c r="B61" s="17">
        <v>50</v>
      </c>
      <c r="C61" s="17">
        <v>0</v>
      </c>
      <c r="D61" s="17">
        <v>0</v>
      </c>
      <c r="E61" s="17">
        <v>0</v>
      </c>
      <c r="F61" s="17">
        <v>0</v>
      </c>
      <c r="G61" s="18">
        <f>IF(AND(F67&lt;&gt;0,0&lt;&gt;0),IF(100*0/(F67-0)&lt;0.005,"*",100*0/(F67-0)),0)</f>
        <v>0</v>
      </c>
    </row>
    <row r="62" spans="1:7" x14ac:dyDescent="0.2">
      <c r="A62" s="11" t="s">
        <v>167</v>
      </c>
      <c r="B62" s="17">
        <v>720</v>
      </c>
      <c r="C62" s="17">
        <v>0</v>
      </c>
      <c r="D62" s="17">
        <v>0</v>
      </c>
      <c r="E62" s="17">
        <v>0</v>
      </c>
      <c r="F62" s="17">
        <v>0</v>
      </c>
      <c r="G62" s="18">
        <f>IF(AND(F67&lt;&gt;0,0&lt;&gt;0),IF(100*0/(F67-0)&lt;0.005,"*",100*0/(F67-0)),0)</f>
        <v>0</v>
      </c>
    </row>
    <row r="63" spans="1:7" x14ac:dyDescent="0.2">
      <c r="A63" s="11" t="s">
        <v>168</v>
      </c>
      <c r="B63" s="17">
        <v>0</v>
      </c>
      <c r="C63" s="17">
        <v>0</v>
      </c>
      <c r="D63" s="17">
        <v>0</v>
      </c>
      <c r="E63" s="17">
        <v>0</v>
      </c>
      <c r="F63" s="17">
        <v>0</v>
      </c>
      <c r="G63" s="18">
        <f>IF(AND(F67&lt;&gt;0,0&lt;&gt;0),IF(100*0/(F67-0)&lt;0.005,"*",100*0/(F67-0)),0)</f>
        <v>0</v>
      </c>
    </row>
    <row r="64" spans="1:7" ht="15" x14ac:dyDescent="0.2">
      <c r="A64" s="11" t="s">
        <v>169</v>
      </c>
      <c r="B64" s="17">
        <v>0</v>
      </c>
      <c r="C64" s="17">
        <v>0</v>
      </c>
      <c r="D64" s="22" t="s">
        <v>188</v>
      </c>
      <c r="E64" s="17">
        <v>0</v>
      </c>
      <c r="F64" s="22" t="s">
        <v>294</v>
      </c>
      <c r="G64" s="18">
        <v>0</v>
      </c>
    </row>
    <row r="65" spans="1:7" x14ac:dyDescent="0.2">
      <c r="A65" s="11" t="s">
        <v>260</v>
      </c>
      <c r="B65" s="17">
        <v>51</v>
      </c>
      <c r="C65" s="17">
        <v>0</v>
      </c>
      <c r="D65" s="17">
        <v>0</v>
      </c>
      <c r="E65" s="17">
        <v>0</v>
      </c>
      <c r="F65" s="17">
        <v>0</v>
      </c>
      <c r="G65" s="18">
        <f>IF(AND(F67&lt;&gt;0,0&lt;&gt;0),IF(100*0/(F67-0)&lt;0.005,"*",100*0/(F67-0)),0)</f>
        <v>0</v>
      </c>
    </row>
    <row r="66" spans="1:7" x14ac:dyDescent="0.2">
      <c r="A66" s="11" t="s">
        <v>295</v>
      </c>
      <c r="B66" s="17">
        <v>57</v>
      </c>
      <c r="C66" s="17">
        <v>0</v>
      </c>
      <c r="D66" s="17">
        <v>0</v>
      </c>
      <c r="E66" s="17">
        <v>0</v>
      </c>
      <c r="F66" s="17">
        <v>0</v>
      </c>
      <c r="G66" s="18">
        <f>IF(AND(F67&lt;&gt;0,0&lt;&gt;0),IF(100*0/(F67-0)&lt;0.005,"*",100*0/(F67-0)),0)</f>
        <v>0</v>
      </c>
    </row>
    <row r="67" spans="1:7" ht="15" customHeight="1" x14ac:dyDescent="0.2">
      <c r="A67" s="19" t="s">
        <v>110</v>
      </c>
      <c r="B67" s="20">
        <f>21060+1240+19670+8034+156380+13174+11282+5221+14150+136692+73135+3723+6703+45700+17190+11919+7186+9913+24049+2550+40173+23877+18702+10792+18822+13678+1259+2887+9249+1101+41566+4260+146883+41396+875+24865+8586+4116+39127+5291+30530+2019+18568+109459+6433+1234+25588+17428+5036+10674+750+51+288+64+42293+50+720+0+0+51+57+0</f>
        <v>1317769</v>
      </c>
      <c r="C67" s="20">
        <f>0+0+0+0+0+0+0+0+0+0+0+0+0+0+0+0+0+0+0+0+0+0+0+0+0+0+0+0+0+0+0+0+0+0+0+0+0+0+0+0+0+0+0+0+0+0+0+0+0+0+0+0+0+0+0+0+0+0+0+0+0+0</f>
        <v>0</v>
      </c>
      <c r="D67" s="20">
        <f>0+0+0+0+0+0+0+0+0+0+0+0+0+0+0+0+0+0+0+0+0+0+0+0+0+0+0+0+0+0+0+0+0+0+0+0+0+0+0+0+0+0+0+0+0+0+0+0+0+0+0+0+0+0+0+0+0+0+0+0+0+0</f>
        <v>0</v>
      </c>
      <c r="E67" s="20">
        <f>SUM(C67:D67)</f>
        <v>0</v>
      </c>
      <c r="F67" s="20">
        <f>0+0+0+0+0+0+0+0+0+0+0+0+0+0+0+0+0+0+0+0+0+0+0+0+0+0+0+0+0+0+0+0+0+0+0+0+0+0+0+0+0+0+0+0+0+0+0+0+0+0+0+0+0+0+0+0+0+0+0+0+0+0</f>
        <v>0</v>
      </c>
      <c r="G67" s="23" t="s">
        <v>189</v>
      </c>
    </row>
    <row r="68" spans="1:7" ht="15" customHeight="1" x14ac:dyDescent="0.2">
      <c r="A68" s="74" t="s">
        <v>171</v>
      </c>
      <c r="B68" s="74"/>
      <c r="C68" s="74"/>
      <c r="D68" s="74"/>
      <c r="E68" s="74"/>
      <c r="F68" s="74"/>
      <c r="G68" s="74"/>
    </row>
    <row r="69" spans="1:7" ht="15" customHeight="1" x14ac:dyDescent="0.2">
      <c r="A69" s="67" t="s">
        <v>296</v>
      </c>
      <c r="B69" s="67"/>
      <c r="C69" s="67"/>
      <c r="D69" s="67"/>
      <c r="E69" s="67"/>
      <c r="F69" s="67"/>
      <c r="G69" s="67"/>
    </row>
    <row r="70" spans="1:7" ht="15" customHeight="1" x14ac:dyDescent="0.2">
      <c r="A70" s="67" t="s">
        <v>297</v>
      </c>
      <c r="B70" s="67"/>
      <c r="C70" s="67"/>
      <c r="D70" s="67"/>
      <c r="E70" s="67"/>
      <c r="F70" s="67"/>
      <c r="G70" s="67"/>
    </row>
  </sheetData>
  <mergeCells count="7">
    <mergeCell ref="A70:G70"/>
    <mergeCell ref="A4:A5"/>
    <mergeCell ref="B4:B5"/>
    <mergeCell ref="F4:F5"/>
    <mergeCell ref="G4:G5"/>
    <mergeCell ref="A68:G68"/>
    <mergeCell ref="A69:G6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75"/>
  <sheetViews>
    <sheetView workbookViewId="0"/>
  </sheetViews>
  <sheetFormatPr defaultRowHeight="12.75" x14ac:dyDescent="0.2"/>
  <cols>
    <col min="1" max="1" width="30.7109375" customWidth="1"/>
    <col min="2" max="7" width="11.7109375" customWidth="1"/>
  </cols>
  <sheetData>
    <row r="1" spans="1:7" ht="38.25" customHeight="1" x14ac:dyDescent="0.2">
      <c r="A1" s="12" t="s">
        <v>298</v>
      </c>
      <c r="B1" s="10"/>
      <c r="C1" s="10"/>
      <c r="D1" s="10"/>
      <c r="E1" s="10"/>
      <c r="F1" s="10"/>
      <c r="G1" s="12" t="s">
        <v>299</v>
      </c>
    </row>
    <row r="2" spans="1:7" x14ac:dyDescent="0.2">
      <c r="A2" s="13" t="s">
        <v>300</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ht="27.75" x14ac:dyDescent="0.2">
      <c r="A6" s="11" t="s">
        <v>111</v>
      </c>
      <c r="B6" s="22" t="s">
        <v>301</v>
      </c>
      <c r="C6" s="17">
        <v>0</v>
      </c>
      <c r="D6" s="17">
        <v>0</v>
      </c>
      <c r="E6" s="17">
        <v>0</v>
      </c>
      <c r="F6" s="17">
        <v>0</v>
      </c>
      <c r="G6" s="18">
        <f>IF(AND(F65&lt;&gt;1861451,0&lt;&gt;0),IF(100*0/(F65-1861451)&lt;0.005,"*",100*0/(F65-1861451)),0)</f>
        <v>0</v>
      </c>
    </row>
    <row r="7" spans="1:7" ht="15" x14ac:dyDescent="0.2">
      <c r="A7" s="11" t="s">
        <v>112</v>
      </c>
      <c r="B7" s="22" t="s">
        <v>302</v>
      </c>
      <c r="C7" s="17">
        <v>0</v>
      </c>
      <c r="D7" s="17">
        <v>0</v>
      </c>
      <c r="E7" s="17">
        <v>0</v>
      </c>
      <c r="F7" s="17">
        <v>0</v>
      </c>
      <c r="G7" s="18">
        <f>IF(AND(F65&lt;&gt;1861451,0&lt;&gt;0),IF(100*0/(F65-1861451)&lt;0.005,"*",100*0/(F65-1861451)),0)</f>
        <v>0</v>
      </c>
    </row>
    <row r="8" spans="1:7" ht="15" x14ac:dyDescent="0.2">
      <c r="A8" s="11" t="s">
        <v>113</v>
      </c>
      <c r="B8" s="22" t="s">
        <v>303</v>
      </c>
      <c r="C8" s="17">
        <v>0</v>
      </c>
      <c r="D8" s="17">
        <v>0</v>
      </c>
      <c r="E8" s="17">
        <v>0</v>
      </c>
      <c r="F8" s="17">
        <v>0</v>
      </c>
      <c r="G8" s="18">
        <f>IF(AND(F65&lt;&gt;1861451,0&lt;&gt;0),IF(100*0/(F65-1861451)&lt;0.005,"*",100*0/(F65-1861451)),0)</f>
        <v>0</v>
      </c>
    </row>
    <row r="9" spans="1:7" ht="27.75" x14ac:dyDescent="0.2">
      <c r="A9" s="11" t="s">
        <v>114</v>
      </c>
      <c r="B9" s="22" t="s">
        <v>304</v>
      </c>
      <c r="C9" s="17">
        <v>0</v>
      </c>
      <c r="D9" s="17">
        <v>0</v>
      </c>
      <c r="E9" s="17">
        <v>0</v>
      </c>
      <c r="F9" s="17">
        <v>0</v>
      </c>
      <c r="G9" s="18">
        <f>IF(AND(F65&lt;&gt;1861451,0&lt;&gt;0),IF(100*0/(F65-1861451)&lt;0.005,"*",100*0/(F65-1861451)),0)</f>
        <v>0</v>
      </c>
    </row>
    <row r="10" spans="1:7" ht="27.75" x14ac:dyDescent="0.2">
      <c r="A10" s="11" t="s">
        <v>115</v>
      </c>
      <c r="B10" s="22" t="s">
        <v>305</v>
      </c>
      <c r="C10" s="17">
        <v>0</v>
      </c>
      <c r="D10" s="17">
        <v>0</v>
      </c>
      <c r="E10" s="17">
        <v>0</v>
      </c>
      <c r="F10" s="17">
        <v>0</v>
      </c>
      <c r="G10" s="18">
        <f>IF(AND(F65&lt;&gt;1861451,0&lt;&gt;0),IF(100*0/(F65-1861451)&lt;0.005,"*",100*0/(F65-1861451)),0)</f>
        <v>0</v>
      </c>
    </row>
    <row r="11" spans="1:7" ht="27.75" x14ac:dyDescent="0.2">
      <c r="A11" s="11" t="s">
        <v>116</v>
      </c>
      <c r="B11" s="22" t="s">
        <v>306</v>
      </c>
      <c r="C11" s="17">
        <v>0</v>
      </c>
      <c r="D11" s="17">
        <v>0</v>
      </c>
      <c r="E11" s="17">
        <v>0</v>
      </c>
      <c r="F11" s="17">
        <v>0</v>
      </c>
      <c r="G11" s="18">
        <f>IF(AND(F65&lt;&gt;1861451,0&lt;&gt;0),IF(100*0/(F65-1861451)&lt;0.005,"*",100*0/(F65-1861451)),0)</f>
        <v>0</v>
      </c>
    </row>
    <row r="12" spans="1:7" ht="27.75" x14ac:dyDescent="0.2">
      <c r="A12" s="11" t="s">
        <v>117</v>
      </c>
      <c r="B12" s="22" t="s">
        <v>307</v>
      </c>
      <c r="C12" s="17">
        <v>0</v>
      </c>
      <c r="D12" s="17">
        <v>0</v>
      </c>
      <c r="E12" s="17">
        <v>0</v>
      </c>
      <c r="F12" s="17">
        <v>0</v>
      </c>
      <c r="G12" s="18">
        <f>IF(AND(F65&lt;&gt;1861451,0&lt;&gt;0),IF(100*0/(F65-1861451)&lt;0.005,"*",100*0/(F65-1861451)),0)</f>
        <v>0</v>
      </c>
    </row>
    <row r="13" spans="1:7" ht="15" x14ac:dyDescent="0.2">
      <c r="A13" s="11" t="s">
        <v>118</v>
      </c>
      <c r="B13" s="22" t="s">
        <v>308</v>
      </c>
      <c r="C13" s="17">
        <v>0</v>
      </c>
      <c r="D13" s="17">
        <v>0</v>
      </c>
      <c r="E13" s="17">
        <v>0</v>
      </c>
      <c r="F13" s="17">
        <v>0</v>
      </c>
      <c r="G13" s="18">
        <f>IF(AND(F65&lt;&gt;1861451,0&lt;&gt;0),IF(100*0/(F65-1861451)&lt;0.005,"*",100*0/(F65-1861451)),0)</f>
        <v>0</v>
      </c>
    </row>
    <row r="14" spans="1:7" ht="27.75" x14ac:dyDescent="0.2">
      <c r="A14" s="11" t="s">
        <v>119</v>
      </c>
      <c r="B14" s="22" t="s">
        <v>309</v>
      </c>
      <c r="C14" s="17">
        <v>0</v>
      </c>
      <c r="D14" s="17">
        <v>0</v>
      </c>
      <c r="E14" s="17">
        <v>0</v>
      </c>
      <c r="F14" s="17">
        <v>0</v>
      </c>
      <c r="G14" s="18">
        <f>IF(AND(F65&lt;&gt;1861451,0&lt;&gt;0),IF(100*0/(F65-1861451)&lt;0.005,"*",100*0/(F65-1861451)),0)</f>
        <v>0</v>
      </c>
    </row>
    <row r="15" spans="1:7" ht="27.75" x14ac:dyDescent="0.2">
      <c r="A15" s="11" t="s">
        <v>120</v>
      </c>
      <c r="B15" s="22" t="s">
        <v>310</v>
      </c>
      <c r="C15" s="17">
        <v>0</v>
      </c>
      <c r="D15" s="17">
        <v>0</v>
      </c>
      <c r="E15" s="17">
        <v>0</v>
      </c>
      <c r="F15" s="17">
        <v>0</v>
      </c>
      <c r="G15" s="18">
        <f>IF(AND(F65&lt;&gt;1861451,0&lt;&gt;0),IF(100*0/(F65-1861451)&lt;0.005,"*",100*0/(F65-1861451)),0)</f>
        <v>0</v>
      </c>
    </row>
    <row r="16" spans="1:7" ht="27.75" x14ac:dyDescent="0.2">
      <c r="A16" s="11" t="s">
        <v>121</v>
      </c>
      <c r="B16" s="22" t="s">
        <v>311</v>
      </c>
      <c r="C16" s="17">
        <v>0</v>
      </c>
      <c r="D16" s="17">
        <v>0</v>
      </c>
      <c r="E16" s="17">
        <v>0</v>
      </c>
      <c r="F16" s="17">
        <v>0</v>
      </c>
      <c r="G16" s="18">
        <f>IF(AND(F65&lt;&gt;1861451,0&lt;&gt;0),IF(100*0/(F65-1861451)&lt;0.005,"*",100*0/(F65-1861451)),0)</f>
        <v>0</v>
      </c>
    </row>
    <row r="17" spans="1:7" ht="27.75" x14ac:dyDescent="0.2">
      <c r="A17" s="11" t="s">
        <v>122</v>
      </c>
      <c r="B17" s="22" t="s">
        <v>312</v>
      </c>
      <c r="C17" s="17">
        <v>0</v>
      </c>
      <c r="D17" s="17">
        <v>0</v>
      </c>
      <c r="E17" s="17">
        <v>0</v>
      </c>
      <c r="F17" s="17">
        <v>0</v>
      </c>
      <c r="G17" s="18">
        <f>IF(AND(F65&lt;&gt;1861451,0&lt;&gt;0),IF(100*0/(F65-1861451)&lt;0.005,"*",100*0/(F65-1861451)),0)</f>
        <v>0</v>
      </c>
    </row>
    <row r="18" spans="1:7" ht="27.75" x14ac:dyDescent="0.2">
      <c r="A18" s="11" t="s">
        <v>123</v>
      </c>
      <c r="B18" s="22" t="s">
        <v>313</v>
      </c>
      <c r="C18" s="17">
        <v>0</v>
      </c>
      <c r="D18" s="17">
        <v>0</v>
      </c>
      <c r="E18" s="17">
        <v>0</v>
      </c>
      <c r="F18" s="17">
        <v>0</v>
      </c>
      <c r="G18" s="18">
        <f>IF(AND(F65&lt;&gt;1861451,0&lt;&gt;0),IF(100*0/(F65-1861451)&lt;0.005,"*",100*0/(F65-1861451)),0)</f>
        <v>0</v>
      </c>
    </row>
    <row r="19" spans="1:7" ht="27.75" x14ac:dyDescent="0.2">
      <c r="A19" s="11" t="s">
        <v>124</v>
      </c>
      <c r="B19" s="22" t="s">
        <v>314</v>
      </c>
      <c r="C19" s="17">
        <v>0</v>
      </c>
      <c r="D19" s="17">
        <v>0</v>
      </c>
      <c r="E19" s="17">
        <v>0</v>
      </c>
      <c r="F19" s="17">
        <v>0</v>
      </c>
      <c r="G19" s="18">
        <f>IF(AND(F65&lt;&gt;1861451,0&lt;&gt;0),IF(100*0/(F65-1861451)&lt;0.005,"*",100*0/(F65-1861451)),0)</f>
        <v>0</v>
      </c>
    </row>
    <row r="20" spans="1:7" ht="15" x14ac:dyDescent="0.2">
      <c r="A20" s="11" t="s">
        <v>125</v>
      </c>
      <c r="B20" s="22" t="s">
        <v>315</v>
      </c>
      <c r="C20" s="17">
        <v>0</v>
      </c>
      <c r="D20" s="17">
        <v>0</v>
      </c>
      <c r="E20" s="17">
        <v>0</v>
      </c>
      <c r="F20" s="17">
        <v>0</v>
      </c>
      <c r="G20" s="18">
        <f>IF(AND(F65&lt;&gt;1861451,0&lt;&gt;0),IF(100*0/(F65-1861451)&lt;0.005,"*",100*0/(F65-1861451)),0)</f>
        <v>0</v>
      </c>
    </row>
    <row r="21" spans="1:7" ht="15" x14ac:dyDescent="0.2">
      <c r="A21" s="11" t="s">
        <v>126</v>
      </c>
      <c r="B21" s="22" t="s">
        <v>316</v>
      </c>
      <c r="C21" s="17">
        <v>0</v>
      </c>
      <c r="D21" s="17">
        <v>0</v>
      </c>
      <c r="E21" s="17">
        <v>0</v>
      </c>
      <c r="F21" s="17">
        <v>0</v>
      </c>
      <c r="G21" s="18">
        <f>IF(AND(F65&lt;&gt;1861451,0&lt;&gt;0),IF(100*0/(F65-1861451)&lt;0.005,"*",100*0/(F65-1861451)),0)</f>
        <v>0</v>
      </c>
    </row>
    <row r="22" spans="1:7" ht="15" x14ac:dyDescent="0.2">
      <c r="A22" s="11" t="s">
        <v>127</v>
      </c>
      <c r="B22" s="22" t="s">
        <v>317</v>
      </c>
      <c r="C22" s="17">
        <v>0</v>
      </c>
      <c r="D22" s="17">
        <v>0</v>
      </c>
      <c r="E22" s="17">
        <v>0</v>
      </c>
      <c r="F22" s="17">
        <v>0</v>
      </c>
      <c r="G22" s="18">
        <f>IF(AND(F65&lt;&gt;1861451,0&lt;&gt;0),IF(100*0/(F65-1861451)&lt;0.005,"*",100*0/(F65-1861451)),0)</f>
        <v>0</v>
      </c>
    </row>
    <row r="23" spans="1:7" ht="15" x14ac:dyDescent="0.2">
      <c r="A23" s="11" t="s">
        <v>128</v>
      </c>
      <c r="B23" s="22" t="s">
        <v>318</v>
      </c>
      <c r="C23" s="17">
        <v>0</v>
      </c>
      <c r="D23" s="17">
        <v>0</v>
      </c>
      <c r="E23" s="17">
        <v>0</v>
      </c>
      <c r="F23" s="17">
        <v>0</v>
      </c>
      <c r="G23" s="18">
        <f>IF(AND(F65&lt;&gt;1861451,0&lt;&gt;0),IF(100*0/(F65-1861451)&lt;0.005,"*",100*0/(F65-1861451)),0)</f>
        <v>0</v>
      </c>
    </row>
    <row r="24" spans="1:7" ht="27.75" x14ac:dyDescent="0.2">
      <c r="A24" s="11" t="s">
        <v>129</v>
      </c>
      <c r="B24" s="22" t="s">
        <v>319</v>
      </c>
      <c r="C24" s="17">
        <v>0</v>
      </c>
      <c r="D24" s="17">
        <v>0</v>
      </c>
      <c r="E24" s="17">
        <v>0</v>
      </c>
      <c r="F24" s="17">
        <v>0</v>
      </c>
      <c r="G24" s="18">
        <f>IF(AND(F65&lt;&gt;1861451,0&lt;&gt;0),IF(100*0/(F65-1861451)&lt;0.005,"*",100*0/(F65-1861451)),0)</f>
        <v>0</v>
      </c>
    </row>
    <row r="25" spans="1:7" ht="15" x14ac:dyDescent="0.2">
      <c r="A25" s="11" t="s">
        <v>130</v>
      </c>
      <c r="B25" s="22" t="s">
        <v>320</v>
      </c>
      <c r="C25" s="17">
        <v>0</v>
      </c>
      <c r="D25" s="17">
        <v>0</v>
      </c>
      <c r="E25" s="17">
        <v>0</v>
      </c>
      <c r="F25" s="17">
        <v>0</v>
      </c>
      <c r="G25" s="18">
        <f>IF(AND(F65&lt;&gt;1861451,0&lt;&gt;0),IF(100*0/(F65-1861451)&lt;0.005,"*",100*0/(F65-1861451)),0)</f>
        <v>0</v>
      </c>
    </row>
    <row r="26" spans="1:7" ht="27.75" x14ac:dyDescent="0.2">
      <c r="A26" s="11" t="s">
        <v>131</v>
      </c>
      <c r="B26" s="22" t="s">
        <v>321</v>
      </c>
      <c r="C26" s="17">
        <v>0</v>
      </c>
      <c r="D26" s="17">
        <v>0</v>
      </c>
      <c r="E26" s="17">
        <v>0</v>
      </c>
      <c r="F26" s="17">
        <v>0</v>
      </c>
      <c r="G26" s="18">
        <f>IF(AND(F65&lt;&gt;1861451,0&lt;&gt;0),IF(100*0/(F65-1861451)&lt;0.005,"*",100*0/(F65-1861451)),0)</f>
        <v>0</v>
      </c>
    </row>
    <row r="27" spans="1:7" ht="27.75" x14ac:dyDescent="0.2">
      <c r="A27" s="11" t="s">
        <v>132</v>
      </c>
      <c r="B27" s="22" t="s">
        <v>322</v>
      </c>
      <c r="C27" s="17">
        <v>0</v>
      </c>
      <c r="D27" s="17">
        <v>0</v>
      </c>
      <c r="E27" s="17">
        <v>0</v>
      </c>
      <c r="F27" s="17">
        <v>0</v>
      </c>
      <c r="G27" s="18">
        <f>IF(AND(F65&lt;&gt;1861451,0&lt;&gt;0),IF(100*0/(F65-1861451)&lt;0.005,"*",100*0/(F65-1861451)),0)</f>
        <v>0</v>
      </c>
    </row>
    <row r="28" spans="1:7" ht="27.75" x14ac:dyDescent="0.2">
      <c r="A28" s="11" t="s">
        <v>133</v>
      </c>
      <c r="B28" s="22" t="s">
        <v>323</v>
      </c>
      <c r="C28" s="17">
        <v>0</v>
      </c>
      <c r="D28" s="17">
        <v>0</v>
      </c>
      <c r="E28" s="17">
        <v>0</v>
      </c>
      <c r="F28" s="17">
        <v>0</v>
      </c>
      <c r="G28" s="18">
        <f>IF(AND(F65&lt;&gt;1861451,0&lt;&gt;0),IF(100*0/(F65-1861451)&lt;0.005,"*",100*0/(F65-1861451)),0)</f>
        <v>0</v>
      </c>
    </row>
    <row r="29" spans="1:7" ht="27.75" x14ac:dyDescent="0.2">
      <c r="A29" s="11" t="s">
        <v>134</v>
      </c>
      <c r="B29" s="22" t="s">
        <v>324</v>
      </c>
      <c r="C29" s="17">
        <v>0</v>
      </c>
      <c r="D29" s="17">
        <v>0</v>
      </c>
      <c r="E29" s="17">
        <v>0</v>
      </c>
      <c r="F29" s="17">
        <v>0</v>
      </c>
      <c r="G29" s="18">
        <f>IF(AND(F65&lt;&gt;1861451,0&lt;&gt;0),IF(100*0/(F65-1861451)&lt;0.005,"*",100*0/(F65-1861451)),0)</f>
        <v>0</v>
      </c>
    </row>
    <row r="30" spans="1:7" ht="27.75" x14ac:dyDescent="0.2">
      <c r="A30" s="11" t="s">
        <v>135</v>
      </c>
      <c r="B30" s="22" t="s">
        <v>325</v>
      </c>
      <c r="C30" s="17">
        <v>0</v>
      </c>
      <c r="D30" s="17">
        <v>0</v>
      </c>
      <c r="E30" s="17">
        <v>0</v>
      </c>
      <c r="F30" s="17">
        <v>0</v>
      </c>
      <c r="G30" s="18">
        <f>IF(AND(F65&lt;&gt;1861451,0&lt;&gt;0),IF(100*0/(F65-1861451)&lt;0.005,"*",100*0/(F65-1861451)),0)</f>
        <v>0</v>
      </c>
    </row>
    <row r="31" spans="1:7" ht="15" x14ac:dyDescent="0.2">
      <c r="A31" s="11" t="s">
        <v>136</v>
      </c>
      <c r="B31" s="22" t="s">
        <v>326</v>
      </c>
      <c r="C31" s="17">
        <v>0</v>
      </c>
      <c r="D31" s="17">
        <v>0</v>
      </c>
      <c r="E31" s="17">
        <v>0</v>
      </c>
      <c r="F31" s="17">
        <v>0</v>
      </c>
      <c r="G31" s="18">
        <f>IF(AND(F65&lt;&gt;1861451,0&lt;&gt;0),IF(100*0/(F65-1861451)&lt;0.005,"*",100*0/(F65-1861451)),0)</f>
        <v>0</v>
      </c>
    </row>
    <row r="32" spans="1:7" ht="15" x14ac:dyDescent="0.2">
      <c r="A32" s="11" t="s">
        <v>137</v>
      </c>
      <c r="B32" s="22" t="s">
        <v>327</v>
      </c>
      <c r="C32" s="17">
        <v>0</v>
      </c>
      <c r="D32" s="17">
        <v>0</v>
      </c>
      <c r="E32" s="17">
        <v>0</v>
      </c>
      <c r="F32" s="17">
        <v>0</v>
      </c>
      <c r="G32" s="18">
        <f>IF(AND(F65&lt;&gt;1861451,0&lt;&gt;0),IF(100*0/(F65-1861451)&lt;0.005,"*",100*0/(F65-1861451)),0)</f>
        <v>0</v>
      </c>
    </row>
    <row r="33" spans="1:7" ht="15" x14ac:dyDescent="0.2">
      <c r="A33" s="11" t="s">
        <v>138</v>
      </c>
      <c r="B33" s="22" t="s">
        <v>328</v>
      </c>
      <c r="C33" s="17">
        <v>0</v>
      </c>
      <c r="D33" s="17">
        <v>0</v>
      </c>
      <c r="E33" s="17">
        <v>0</v>
      </c>
      <c r="F33" s="17">
        <v>0</v>
      </c>
      <c r="G33" s="18">
        <f>IF(AND(F65&lt;&gt;1861451,0&lt;&gt;0),IF(100*0/(F65-1861451)&lt;0.005,"*",100*0/(F65-1861451)),0)</f>
        <v>0</v>
      </c>
    </row>
    <row r="34" spans="1:7" ht="15" x14ac:dyDescent="0.2">
      <c r="A34" s="11" t="s">
        <v>139</v>
      </c>
      <c r="B34" s="22" t="s">
        <v>329</v>
      </c>
      <c r="C34" s="17">
        <v>0</v>
      </c>
      <c r="D34" s="17">
        <v>0</v>
      </c>
      <c r="E34" s="17">
        <v>0</v>
      </c>
      <c r="F34" s="17">
        <v>0</v>
      </c>
      <c r="G34" s="18">
        <f>IF(AND(F65&lt;&gt;1861451,0&lt;&gt;0),IF(100*0/(F65-1861451)&lt;0.005,"*",100*0/(F65-1861451)),0)</f>
        <v>0</v>
      </c>
    </row>
    <row r="35" spans="1:7" ht="15" x14ac:dyDescent="0.2">
      <c r="A35" s="11" t="s">
        <v>140</v>
      </c>
      <c r="B35" s="22" t="s">
        <v>330</v>
      </c>
      <c r="C35" s="17">
        <v>0</v>
      </c>
      <c r="D35" s="17">
        <v>0</v>
      </c>
      <c r="E35" s="17">
        <v>0</v>
      </c>
      <c r="F35" s="17">
        <v>0</v>
      </c>
      <c r="G35" s="18">
        <f>IF(AND(F65&lt;&gt;1861451,0&lt;&gt;0),IF(100*0/(F65-1861451)&lt;0.005,"*",100*0/(F65-1861451)),0)</f>
        <v>0</v>
      </c>
    </row>
    <row r="36" spans="1:7" ht="27.75" x14ac:dyDescent="0.2">
      <c r="A36" s="11" t="s">
        <v>141</v>
      </c>
      <c r="B36" s="22" t="s">
        <v>331</v>
      </c>
      <c r="C36" s="17">
        <v>0</v>
      </c>
      <c r="D36" s="17">
        <v>0</v>
      </c>
      <c r="E36" s="17">
        <v>0</v>
      </c>
      <c r="F36" s="17">
        <v>0</v>
      </c>
      <c r="G36" s="18">
        <f>IF(AND(F65&lt;&gt;1861451,0&lt;&gt;0),IF(100*0/(F65-1861451)&lt;0.005,"*",100*0/(F65-1861451)),0)</f>
        <v>0</v>
      </c>
    </row>
    <row r="37" spans="1:7" ht="15" x14ac:dyDescent="0.2">
      <c r="A37" s="11" t="s">
        <v>142</v>
      </c>
      <c r="B37" s="22" t="s">
        <v>332</v>
      </c>
      <c r="C37" s="17">
        <v>0</v>
      </c>
      <c r="D37" s="17">
        <v>0</v>
      </c>
      <c r="E37" s="17">
        <v>0</v>
      </c>
      <c r="F37" s="17">
        <v>0</v>
      </c>
      <c r="G37" s="18">
        <f>IF(AND(F65&lt;&gt;1861451,0&lt;&gt;0),IF(100*0/(F65-1861451)&lt;0.005,"*",100*0/(F65-1861451)),0)</f>
        <v>0</v>
      </c>
    </row>
    <row r="38" spans="1:7" ht="27.75" x14ac:dyDescent="0.2">
      <c r="A38" s="11" t="s">
        <v>143</v>
      </c>
      <c r="B38" s="22" t="s">
        <v>333</v>
      </c>
      <c r="C38" s="17">
        <v>0</v>
      </c>
      <c r="D38" s="17">
        <v>0</v>
      </c>
      <c r="E38" s="17">
        <v>0</v>
      </c>
      <c r="F38" s="17">
        <v>0</v>
      </c>
      <c r="G38" s="18">
        <f>IF(AND(F65&lt;&gt;1861451,0&lt;&gt;0),IF(100*0/(F65-1861451)&lt;0.005,"*",100*0/(F65-1861451)),0)</f>
        <v>0</v>
      </c>
    </row>
    <row r="39" spans="1:7" ht="15" x14ac:dyDescent="0.2">
      <c r="A39" s="11" t="s">
        <v>144</v>
      </c>
      <c r="B39" s="22" t="s">
        <v>334</v>
      </c>
      <c r="C39" s="17">
        <v>0</v>
      </c>
      <c r="D39" s="17">
        <v>0</v>
      </c>
      <c r="E39" s="17">
        <v>0</v>
      </c>
      <c r="F39" s="17">
        <v>0</v>
      </c>
      <c r="G39" s="18">
        <f>IF(AND(F65&lt;&gt;1861451,0&lt;&gt;0),IF(100*0/(F65-1861451)&lt;0.005,"*",100*0/(F65-1861451)),0)</f>
        <v>0</v>
      </c>
    </row>
    <row r="40" spans="1:7" ht="15" x14ac:dyDescent="0.2">
      <c r="A40" s="11" t="s">
        <v>145</v>
      </c>
      <c r="B40" s="22" t="s">
        <v>335</v>
      </c>
      <c r="C40" s="17">
        <v>0</v>
      </c>
      <c r="D40" s="17">
        <v>0</v>
      </c>
      <c r="E40" s="17">
        <v>0</v>
      </c>
      <c r="F40" s="17">
        <v>0</v>
      </c>
      <c r="G40" s="18">
        <f>IF(AND(F65&lt;&gt;1861451,0&lt;&gt;0),IF(100*0/(F65-1861451)&lt;0.005,"*",100*0/(F65-1861451)),0)</f>
        <v>0</v>
      </c>
    </row>
    <row r="41" spans="1:7" ht="15" x14ac:dyDescent="0.2">
      <c r="A41" s="11" t="s">
        <v>146</v>
      </c>
      <c r="B41" s="22" t="s">
        <v>336</v>
      </c>
      <c r="C41" s="17">
        <v>0</v>
      </c>
      <c r="D41" s="17">
        <v>0</v>
      </c>
      <c r="E41" s="17">
        <v>0</v>
      </c>
      <c r="F41" s="17">
        <v>0</v>
      </c>
      <c r="G41" s="18">
        <f>IF(AND(F65&lt;&gt;1861451,0&lt;&gt;0),IF(100*0/(F65-1861451)&lt;0.005,"*",100*0/(F65-1861451)),0)</f>
        <v>0</v>
      </c>
    </row>
    <row r="42" spans="1:7" ht="15" x14ac:dyDescent="0.2">
      <c r="A42" s="11" t="s">
        <v>147</v>
      </c>
      <c r="B42" s="22" t="s">
        <v>337</v>
      </c>
      <c r="C42" s="17">
        <v>0</v>
      </c>
      <c r="D42" s="17">
        <v>0</v>
      </c>
      <c r="E42" s="17">
        <v>0</v>
      </c>
      <c r="F42" s="17">
        <v>0</v>
      </c>
      <c r="G42" s="18">
        <f>IF(AND(F65&lt;&gt;1861451,0&lt;&gt;0),IF(100*0/(F65-1861451)&lt;0.005,"*",100*0/(F65-1861451)),0)</f>
        <v>0</v>
      </c>
    </row>
    <row r="43" spans="1:7" ht="27.75" x14ac:dyDescent="0.2">
      <c r="A43" s="11" t="s">
        <v>148</v>
      </c>
      <c r="B43" s="22" t="s">
        <v>338</v>
      </c>
      <c r="C43" s="17">
        <v>0</v>
      </c>
      <c r="D43" s="17">
        <v>0</v>
      </c>
      <c r="E43" s="17">
        <v>0</v>
      </c>
      <c r="F43" s="17">
        <v>0</v>
      </c>
      <c r="G43" s="18">
        <f>IF(AND(F65&lt;&gt;1861451,0&lt;&gt;0),IF(100*0/(F65-1861451)&lt;0.005,"*",100*0/(F65-1861451)),0)</f>
        <v>0</v>
      </c>
    </row>
    <row r="44" spans="1:7" ht="27.75" x14ac:dyDescent="0.2">
      <c r="A44" s="11" t="s">
        <v>149</v>
      </c>
      <c r="B44" s="22" t="s">
        <v>339</v>
      </c>
      <c r="C44" s="17">
        <v>0</v>
      </c>
      <c r="D44" s="17">
        <v>0</v>
      </c>
      <c r="E44" s="17">
        <v>0</v>
      </c>
      <c r="F44" s="17">
        <v>0</v>
      </c>
      <c r="G44" s="18">
        <f>IF(AND(F65&lt;&gt;1861451,0&lt;&gt;0),IF(100*0/(F65-1861451)&lt;0.005,"*",100*0/(F65-1861451)),0)</f>
        <v>0</v>
      </c>
    </row>
    <row r="45" spans="1:7" ht="15" x14ac:dyDescent="0.2">
      <c r="A45" s="11" t="s">
        <v>150</v>
      </c>
      <c r="B45" s="22" t="s">
        <v>340</v>
      </c>
      <c r="C45" s="17">
        <v>0</v>
      </c>
      <c r="D45" s="17">
        <v>0</v>
      </c>
      <c r="E45" s="17">
        <v>0</v>
      </c>
      <c r="F45" s="17">
        <v>0</v>
      </c>
      <c r="G45" s="18">
        <f>IF(AND(F65&lt;&gt;1861451,0&lt;&gt;0),IF(100*0/(F65-1861451)&lt;0.005,"*",100*0/(F65-1861451)),0)</f>
        <v>0</v>
      </c>
    </row>
    <row r="46" spans="1:7" ht="15" x14ac:dyDescent="0.2">
      <c r="A46" s="11" t="s">
        <v>151</v>
      </c>
      <c r="B46" s="22" t="s">
        <v>341</v>
      </c>
      <c r="C46" s="17">
        <v>0</v>
      </c>
      <c r="D46" s="17">
        <v>0</v>
      </c>
      <c r="E46" s="17">
        <v>0</v>
      </c>
      <c r="F46" s="17">
        <v>0</v>
      </c>
      <c r="G46" s="18">
        <f>IF(AND(F65&lt;&gt;1861451,0&lt;&gt;0),IF(100*0/(F65-1861451)&lt;0.005,"*",100*0/(F65-1861451)),0)</f>
        <v>0</v>
      </c>
    </row>
    <row r="47" spans="1:7" ht="15" x14ac:dyDescent="0.2">
      <c r="A47" s="11" t="s">
        <v>152</v>
      </c>
      <c r="B47" s="22" t="s">
        <v>342</v>
      </c>
      <c r="C47" s="17">
        <v>0</v>
      </c>
      <c r="D47" s="17">
        <v>0</v>
      </c>
      <c r="E47" s="17">
        <v>0</v>
      </c>
      <c r="F47" s="17">
        <v>0</v>
      </c>
      <c r="G47" s="18">
        <f>IF(AND(F65&lt;&gt;1861451,0&lt;&gt;0),IF(100*0/(F65-1861451)&lt;0.005,"*",100*0/(F65-1861451)),0)</f>
        <v>0</v>
      </c>
    </row>
    <row r="48" spans="1:7" ht="15" x14ac:dyDescent="0.2">
      <c r="A48" s="11" t="s">
        <v>153</v>
      </c>
      <c r="B48" s="22" t="s">
        <v>343</v>
      </c>
      <c r="C48" s="17">
        <v>0</v>
      </c>
      <c r="D48" s="17">
        <v>0</v>
      </c>
      <c r="E48" s="17">
        <v>0</v>
      </c>
      <c r="F48" s="17">
        <v>0</v>
      </c>
      <c r="G48" s="18">
        <f>IF(AND(F65&lt;&gt;1861451,0&lt;&gt;0),IF(100*0/(F65-1861451)&lt;0.005,"*",100*0/(F65-1861451)),0)</f>
        <v>0</v>
      </c>
    </row>
    <row r="49" spans="1:7" ht="27.75" x14ac:dyDescent="0.2">
      <c r="A49" s="11" t="s">
        <v>154</v>
      </c>
      <c r="B49" s="22" t="s">
        <v>344</v>
      </c>
      <c r="C49" s="17">
        <v>0</v>
      </c>
      <c r="D49" s="17">
        <v>0</v>
      </c>
      <c r="E49" s="17">
        <v>0</v>
      </c>
      <c r="F49" s="17">
        <v>0</v>
      </c>
      <c r="G49" s="18">
        <f>IF(AND(F65&lt;&gt;1861451,0&lt;&gt;0),IF(100*0/(F65-1861451)&lt;0.005,"*",100*0/(F65-1861451)),0)</f>
        <v>0</v>
      </c>
    </row>
    <row r="50" spans="1:7" ht="27.75" x14ac:dyDescent="0.2">
      <c r="A50" s="11" t="s">
        <v>155</v>
      </c>
      <c r="B50" s="22" t="s">
        <v>345</v>
      </c>
      <c r="C50" s="17">
        <v>0</v>
      </c>
      <c r="D50" s="17">
        <v>0</v>
      </c>
      <c r="E50" s="17">
        <v>0</v>
      </c>
      <c r="F50" s="17">
        <v>0</v>
      </c>
      <c r="G50" s="18">
        <f>IF(AND(F65&lt;&gt;1861451,0&lt;&gt;0),IF(100*0/(F65-1861451)&lt;0.005,"*",100*0/(F65-1861451)),0)</f>
        <v>0</v>
      </c>
    </row>
    <row r="51" spans="1:7" ht="15" x14ac:dyDescent="0.2">
      <c r="A51" s="11" t="s">
        <v>156</v>
      </c>
      <c r="B51" s="22" t="s">
        <v>346</v>
      </c>
      <c r="C51" s="17">
        <v>0</v>
      </c>
      <c r="D51" s="17">
        <v>0</v>
      </c>
      <c r="E51" s="17">
        <v>0</v>
      </c>
      <c r="F51" s="17">
        <v>0</v>
      </c>
      <c r="G51" s="18">
        <f>IF(AND(F65&lt;&gt;1861451,0&lt;&gt;0),IF(100*0/(F65-1861451)&lt;0.005,"*",100*0/(F65-1861451)),0)</f>
        <v>0</v>
      </c>
    </row>
    <row r="52" spans="1:7" ht="27.75" x14ac:dyDescent="0.2">
      <c r="A52" s="11" t="s">
        <v>157</v>
      </c>
      <c r="B52" s="22" t="s">
        <v>347</v>
      </c>
      <c r="C52" s="17">
        <v>0</v>
      </c>
      <c r="D52" s="17">
        <v>0</v>
      </c>
      <c r="E52" s="17">
        <v>0</v>
      </c>
      <c r="F52" s="17">
        <v>0</v>
      </c>
      <c r="G52" s="18">
        <f>IF(AND(F65&lt;&gt;1861451,0&lt;&gt;0),IF(100*0/(F65-1861451)&lt;0.005,"*",100*0/(F65-1861451)),0)</f>
        <v>0</v>
      </c>
    </row>
    <row r="53" spans="1:7" ht="27.75" x14ac:dyDescent="0.2">
      <c r="A53" s="11" t="s">
        <v>158</v>
      </c>
      <c r="B53" s="22" t="s">
        <v>348</v>
      </c>
      <c r="C53" s="17">
        <v>0</v>
      </c>
      <c r="D53" s="17">
        <v>0</v>
      </c>
      <c r="E53" s="17">
        <v>0</v>
      </c>
      <c r="F53" s="17">
        <v>0</v>
      </c>
      <c r="G53" s="18">
        <f>IF(AND(F65&lt;&gt;1861451,0&lt;&gt;0),IF(100*0/(F65-1861451)&lt;0.005,"*",100*0/(F65-1861451)),0)</f>
        <v>0</v>
      </c>
    </row>
    <row r="54" spans="1:7" ht="27.75" x14ac:dyDescent="0.2">
      <c r="A54" s="11" t="s">
        <v>159</v>
      </c>
      <c r="B54" s="22" t="s">
        <v>349</v>
      </c>
      <c r="C54" s="17">
        <v>0</v>
      </c>
      <c r="D54" s="17">
        <v>0</v>
      </c>
      <c r="E54" s="17">
        <v>0</v>
      </c>
      <c r="F54" s="17">
        <v>0</v>
      </c>
      <c r="G54" s="18">
        <f>IF(AND(F65&lt;&gt;1861451,0&lt;&gt;0),IF(100*0/(F65-1861451)&lt;0.005,"*",100*0/(F65-1861451)),0)</f>
        <v>0</v>
      </c>
    </row>
    <row r="55" spans="1:7" ht="27.75" x14ac:dyDescent="0.2">
      <c r="A55" s="11" t="s">
        <v>160</v>
      </c>
      <c r="B55" s="22" t="s">
        <v>350</v>
      </c>
      <c r="C55" s="17">
        <v>0</v>
      </c>
      <c r="D55" s="17">
        <v>0</v>
      </c>
      <c r="E55" s="17">
        <v>0</v>
      </c>
      <c r="F55" s="17">
        <v>0</v>
      </c>
      <c r="G55" s="18">
        <f>IF(AND(F65&lt;&gt;1861451,0&lt;&gt;0),IF(100*0/(F65-1861451)&lt;0.005,"*",100*0/(F65-1861451)),0)</f>
        <v>0</v>
      </c>
    </row>
    <row r="56" spans="1:7" ht="15" x14ac:dyDescent="0.2">
      <c r="A56" s="11" t="s">
        <v>161</v>
      </c>
      <c r="B56" s="22" t="s">
        <v>351</v>
      </c>
      <c r="C56" s="17">
        <v>0</v>
      </c>
      <c r="D56" s="17">
        <v>0</v>
      </c>
      <c r="E56" s="17">
        <v>0</v>
      </c>
      <c r="F56" s="17">
        <v>0</v>
      </c>
      <c r="G56" s="18">
        <f>IF(AND(F65&lt;&gt;1861451,0&lt;&gt;0),IF(100*0/(F65-1861451)&lt;0.005,"*",100*0/(F65-1861451)),0)</f>
        <v>0</v>
      </c>
    </row>
    <row r="57" spans="1:7" ht="15" x14ac:dyDescent="0.2">
      <c r="A57" s="11" t="s">
        <v>162</v>
      </c>
      <c r="B57" s="22" t="s">
        <v>352</v>
      </c>
      <c r="C57" s="17">
        <v>0</v>
      </c>
      <c r="D57" s="17">
        <v>0</v>
      </c>
      <c r="E57" s="17">
        <v>0</v>
      </c>
      <c r="F57" s="17">
        <v>0</v>
      </c>
      <c r="G57" s="18">
        <f>IF(AND(F65&lt;&gt;1861451,0&lt;&gt;0),IF(100*0/(F65-1861451)&lt;0.005,"*",100*0/(F65-1861451)),0)</f>
        <v>0</v>
      </c>
    </row>
    <row r="58" spans="1:7" ht="27.75" x14ac:dyDescent="0.2">
      <c r="A58" s="11" t="s">
        <v>163</v>
      </c>
      <c r="B58" s="22" t="s">
        <v>353</v>
      </c>
      <c r="C58" s="17">
        <v>0</v>
      </c>
      <c r="D58" s="17">
        <v>0</v>
      </c>
      <c r="E58" s="17">
        <v>0</v>
      </c>
      <c r="F58" s="17">
        <v>0</v>
      </c>
      <c r="G58" s="18">
        <f>IF(AND(F65&lt;&gt;1861451,0&lt;&gt;0),IF(100*0/(F65-1861451)&lt;0.005,"*",100*0/(F65-1861451)),0)</f>
        <v>0</v>
      </c>
    </row>
    <row r="59" spans="1:7" ht="15" x14ac:dyDescent="0.2">
      <c r="A59" s="11" t="s">
        <v>164</v>
      </c>
      <c r="B59" s="22" t="s">
        <v>354</v>
      </c>
      <c r="C59" s="17">
        <v>0</v>
      </c>
      <c r="D59" s="17">
        <v>0</v>
      </c>
      <c r="E59" s="17">
        <v>0</v>
      </c>
      <c r="F59" s="17">
        <v>0</v>
      </c>
      <c r="G59" s="18">
        <f>IF(AND(F65&lt;&gt;1861451,0&lt;&gt;0),IF(100*0/(F65-1861451)&lt;0.005,"*",100*0/(F65-1861451)),0)</f>
        <v>0</v>
      </c>
    </row>
    <row r="60" spans="1:7" ht="15" x14ac:dyDescent="0.2">
      <c r="A60" s="11" t="s">
        <v>165</v>
      </c>
      <c r="B60" s="22" t="s">
        <v>355</v>
      </c>
      <c r="C60" s="17">
        <v>0</v>
      </c>
      <c r="D60" s="17">
        <v>0</v>
      </c>
      <c r="E60" s="17">
        <v>0</v>
      </c>
      <c r="F60" s="17">
        <v>0</v>
      </c>
      <c r="G60" s="18">
        <f>IF(AND(F65&lt;&gt;1861451,0&lt;&gt;0),IF(100*0/(F65-1861451)&lt;0.005,"*",100*0/(F65-1861451)),0)</f>
        <v>0</v>
      </c>
    </row>
    <row r="61" spans="1:7" ht="15" x14ac:dyDescent="0.2">
      <c r="A61" s="11" t="s">
        <v>166</v>
      </c>
      <c r="B61" s="22" t="s">
        <v>356</v>
      </c>
      <c r="C61" s="17">
        <v>0</v>
      </c>
      <c r="D61" s="17">
        <v>0</v>
      </c>
      <c r="E61" s="17">
        <v>0</v>
      </c>
      <c r="F61" s="17">
        <v>0</v>
      </c>
      <c r="G61" s="18">
        <f>IF(AND(F65&lt;&gt;1861451,0&lt;&gt;0),IF(100*0/(F65-1861451)&lt;0.005,"*",100*0/(F65-1861451)),0)</f>
        <v>0</v>
      </c>
    </row>
    <row r="62" spans="1:7" ht="15" x14ac:dyDescent="0.2">
      <c r="A62" s="11" t="s">
        <v>167</v>
      </c>
      <c r="B62" s="22" t="s">
        <v>357</v>
      </c>
      <c r="C62" s="17">
        <v>0</v>
      </c>
      <c r="D62" s="17">
        <v>0</v>
      </c>
      <c r="E62" s="17">
        <v>0</v>
      </c>
      <c r="F62" s="17">
        <v>0</v>
      </c>
      <c r="G62" s="18">
        <f>IF(AND(F65&lt;&gt;1861451,0&lt;&gt;0),IF(100*0/(F65-1861451)&lt;0.005,"*",100*0/(F65-1861451)),0)</f>
        <v>0</v>
      </c>
    </row>
    <row r="63" spans="1:7" x14ac:dyDescent="0.2">
      <c r="A63" s="11" t="s">
        <v>168</v>
      </c>
      <c r="B63" s="17">
        <v>0</v>
      </c>
      <c r="C63" s="17">
        <v>0</v>
      </c>
      <c r="D63" s="17">
        <v>0</v>
      </c>
      <c r="E63" s="17">
        <v>0</v>
      </c>
      <c r="F63" s="17">
        <v>0</v>
      </c>
      <c r="G63" s="18">
        <f>IF(AND(F65&lt;&gt;1861451,0&lt;&gt;0),IF(100*0/(F65-1861451)&lt;0.005,"*",100*0/(F65-1861451)),0)</f>
        <v>0</v>
      </c>
    </row>
    <row r="64" spans="1:7" ht="27.75" x14ac:dyDescent="0.2">
      <c r="A64" s="11" t="s">
        <v>169</v>
      </c>
      <c r="B64" s="17">
        <v>0</v>
      </c>
      <c r="C64" s="22" t="s">
        <v>358</v>
      </c>
      <c r="D64" s="22" t="s">
        <v>359</v>
      </c>
      <c r="E64" s="17">
        <v>2511000</v>
      </c>
      <c r="F64" s="22" t="s">
        <v>360</v>
      </c>
      <c r="G64" s="18">
        <v>0</v>
      </c>
    </row>
    <row r="65" spans="1:7" ht="15" customHeight="1" x14ac:dyDescent="0.2">
      <c r="A65" s="19" t="s">
        <v>110</v>
      </c>
      <c r="B65" s="20">
        <f>34645+10542+46880+12248+330508+19904+18474+9423+75255+107894+37540+14164+11678+143900+35709+14286+10526+17367+17413+12781+54465+68616+43078+27714+16596+27746+11862+10730+17925+10970+85644+13694+393676+44450+9848+54325+17929+29716+80255+17302+25203+9025+28078+174605+12131+10004+47440+56728+12672+17896+8535+2007+2308+1908+11722+100+4818+0+0+0</f>
        <v>2442858</v>
      </c>
      <c r="C65" s="20">
        <f>0+0+0+0+0+0+0+0+0+0+0+0+0+0+0+0+0+0+0+0+0+0+0+0+0+0+0+0+0+0+0+0+0+0+0+0+0+0+0+0+0+0+0+0+0+0+0+0+0+0+0+0+0+0+0+0+0+0+741000+0</f>
        <v>741000</v>
      </c>
      <c r="D65" s="20">
        <f>0+0+0+0+0+0+0+0+0+0+0+0+0+0+0+0+0+0+0+0+0+0+0+0+0+0+0+0+0+0+0+0+0+0+0+0+0+0+0+0+0+0+0+0+0+0+0+0+0+0+0+0+0+0+0+0+0+0+1770000+0</f>
        <v>1770000</v>
      </c>
      <c r="E65" s="20">
        <f>SUM(C65:D65)</f>
        <v>2511000</v>
      </c>
      <c r="F65" s="20">
        <f>0+0+0+0+0+0+0+0+0+0+0+0+0+0+0+0+0+0+0+0+0+0+0+0+0+0+0+0+0+0+0+0+0+0+0+0+0+0+0+0+0+0+0+0+0+0+0+0+0+0+0+0+0+0+0+0+0+0+1861451+0</f>
        <v>1861451</v>
      </c>
      <c r="G65" s="23" t="s">
        <v>189</v>
      </c>
    </row>
    <row r="66" spans="1:7" ht="15" customHeight="1" x14ac:dyDescent="0.2">
      <c r="A66" s="74" t="s">
        <v>171</v>
      </c>
      <c r="B66" s="74"/>
      <c r="C66" s="74"/>
      <c r="D66" s="74"/>
      <c r="E66" s="74"/>
      <c r="F66" s="74"/>
      <c r="G66" s="74"/>
    </row>
    <row r="67" spans="1:7" ht="15" customHeight="1" x14ac:dyDescent="0.2">
      <c r="A67" s="75" t="s">
        <v>361</v>
      </c>
      <c r="B67" s="75"/>
      <c r="C67" s="75"/>
      <c r="D67" s="75"/>
      <c r="E67" s="75"/>
      <c r="F67" s="75"/>
      <c r="G67" s="75"/>
    </row>
    <row r="68" spans="1:7" ht="15" customHeight="1" x14ac:dyDescent="0.2">
      <c r="A68" s="75" t="s">
        <v>362</v>
      </c>
      <c r="B68" s="75"/>
      <c r="C68" s="75"/>
      <c r="D68" s="75"/>
      <c r="E68" s="75"/>
      <c r="F68" s="75"/>
      <c r="G68" s="75"/>
    </row>
    <row r="69" spans="1:7" ht="15" customHeight="1" x14ac:dyDescent="0.2">
      <c r="A69" s="75" t="s">
        <v>363</v>
      </c>
      <c r="B69" s="75"/>
      <c r="C69" s="75"/>
      <c r="D69" s="75"/>
      <c r="E69" s="75"/>
      <c r="F69" s="75"/>
      <c r="G69" s="75"/>
    </row>
    <row r="70" spans="1:7" ht="15" customHeight="1" x14ac:dyDescent="0.2">
      <c r="A70" s="75" t="s">
        <v>364</v>
      </c>
      <c r="B70" s="75"/>
      <c r="C70" s="75"/>
      <c r="D70" s="75"/>
      <c r="E70" s="75"/>
      <c r="F70" s="75"/>
      <c r="G70" s="75"/>
    </row>
    <row r="71" spans="1:7" ht="15" customHeight="1" x14ac:dyDescent="0.2">
      <c r="A71" s="75" t="s">
        <v>365</v>
      </c>
      <c r="B71" s="75"/>
      <c r="C71" s="75"/>
      <c r="D71" s="75"/>
      <c r="E71" s="75"/>
      <c r="F71" s="75"/>
      <c r="G71" s="75"/>
    </row>
    <row r="72" spans="1:7" ht="15" customHeight="1" x14ac:dyDescent="0.2">
      <c r="A72" s="75" t="s">
        <v>366</v>
      </c>
      <c r="B72" s="75"/>
      <c r="C72" s="75"/>
      <c r="D72" s="75"/>
      <c r="E72" s="75"/>
      <c r="F72" s="75"/>
      <c r="G72" s="75"/>
    </row>
    <row r="73" spans="1:7" ht="15" customHeight="1" x14ac:dyDescent="0.2">
      <c r="A73" s="75" t="s">
        <v>367</v>
      </c>
      <c r="B73" s="75"/>
      <c r="C73" s="75"/>
      <c r="D73" s="75"/>
      <c r="E73" s="75"/>
      <c r="F73" s="75"/>
      <c r="G73" s="75"/>
    </row>
    <row r="74" spans="1:7" ht="15" customHeight="1" x14ac:dyDescent="0.2">
      <c r="A74" s="67" t="s">
        <v>368</v>
      </c>
      <c r="B74" s="67"/>
      <c r="C74" s="67"/>
      <c r="D74" s="67"/>
      <c r="E74" s="67"/>
      <c r="F74" s="67"/>
      <c r="G74" s="67"/>
    </row>
    <row r="75" spans="1:7" ht="15" customHeight="1" x14ac:dyDescent="0.2">
      <c r="A75" s="67" t="s">
        <v>369</v>
      </c>
      <c r="B75" s="67"/>
      <c r="C75" s="67"/>
      <c r="D75" s="67"/>
      <c r="E75" s="67"/>
      <c r="F75" s="67"/>
      <c r="G75" s="67"/>
    </row>
  </sheetData>
  <mergeCells count="14">
    <mergeCell ref="A67:G67"/>
    <mergeCell ref="A4:A5"/>
    <mergeCell ref="B4:B5"/>
    <mergeCell ref="F4:F5"/>
    <mergeCell ref="G4:G5"/>
    <mergeCell ref="A66:G66"/>
    <mergeCell ref="A74:G74"/>
    <mergeCell ref="A75:G75"/>
    <mergeCell ref="A68:G68"/>
    <mergeCell ref="A69:G69"/>
    <mergeCell ref="A70:G70"/>
    <mergeCell ref="A71:G71"/>
    <mergeCell ref="A72:G72"/>
    <mergeCell ref="A73:G7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370</v>
      </c>
      <c r="B1" s="10"/>
      <c r="C1" s="10"/>
      <c r="D1" s="10"/>
      <c r="E1" s="10"/>
      <c r="F1" s="10"/>
      <c r="G1" s="12" t="s">
        <v>371</v>
      </c>
    </row>
    <row r="2" spans="1:7" x14ac:dyDescent="0.2">
      <c r="A2" s="13" t="s">
        <v>372</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48408</v>
      </c>
      <c r="C6" s="17">
        <v>2489</v>
      </c>
      <c r="D6" s="17">
        <v>42721</v>
      </c>
      <c r="E6" s="17">
        <v>45210</v>
      </c>
      <c r="F6" s="17">
        <v>2197</v>
      </c>
      <c r="G6" s="18">
        <f>IF(AND(F65&lt;&gt;0,2197&lt;&gt;0),IF(100*2197/(F65-0)&lt;0.005,"*",100*2197/(F65-0)),0)</f>
        <v>0.56527847104652418</v>
      </c>
    </row>
    <row r="7" spans="1:7" x14ac:dyDescent="0.2">
      <c r="A7" s="11" t="s">
        <v>112</v>
      </c>
      <c r="B7" s="17">
        <v>4744</v>
      </c>
      <c r="C7" s="17">
        <v>7511</v>
      </c>
      <c r="D7" s="17">
        <v>1939</v>
      </c>
      <c r="E7" s="17">
        <v>9450</v>
      </c>
      <c r="F7" s="17">
        <v>3071</v>
      </c>
      <c r="G7" s="18">
        <f>IF(AND(F65&lt;&gt;0,3071&lt;&gt;0),IF(100*3071/(F65-0)&lt;0.005,"*",100*3071/(F65-0)),0)</f>
        <v>0.79015484050244689</v>
      </c>
    </row>
    <row r="8" spans="1:7" x14ac:dyDescent="0.2">
      <c r="A8" s="11" t="s">
        <v>113</v>
      </c>
      <c r="B8" s="17">
        <v>45490</v>
      </c>
      <c r="C8" s="17">
        <v>24363</v>
      </c>
      <c r="D8" s="17">
        <v>37322</v>
      </c>
      <c r="E8" s="17">
        <v>61685</v>
      </c>
      <c r="F8" s="17">
        <v>19989</v>
      </c>
      <c r="G8" s="18">
        <f>IF(AND(F65&lt;&gt;0,19989&lt;&gt;0),IF(100*19989/(F65-0)&lt;0.005,"*",100*19989/(F65-0)),0)</f>
        <v>5.1430820927396326</v>
      </c>
    </row>
    <row r="9" spans="1:7" x14ac:dyDescent="0.2">
      <c r="A9" s="11" t="s">
        <v>114</v>
      </c>
      <c r="B9" s="17">
        <v>24195</v>
      </c>
      <c r="C9" s="17">
        <v>816</v>
      </c>
      <c r="D9" s="17">
        <v>25827</v>
      </c>
      <c r="E9" s="17">
        <v>26643</v>
      </c>
      <c r="F9" s="17">
        <v>871</v>
      </c>
      <c r="G9" s="18">
        <f>IF(AND(F65&lt;&gt;0,871&lt;&gt;0),IF(100*871/(F65-0)&lt;0.005,"*",100*871/(F65-0)),0)</f>
        <v>0.22410448260424332</v>
      </c>
    </row>
    <row r="10" spans="1:7" x14ac:dyDescent="0.2">
      <c r="A10" s="11" t="s">
        <v>115</v>
      </c>
      <c r="B10" s="17">
        <v>435455</v>
      </c>
      <c r="C10" s="17">
        <v>63692</v>
      </c>
      <c r="D10" s="17">
        <v>351468</v>
      </c>
      <c r="E10" s="17">
        <v>415160</v>
      </c>
      <c r="F10" s="17">
        <v>51407</v>
      </c>
      <c r="G10" s="18">
        <f>IF(AND(F65&lt;&gt;0,51407&lt;&gt;0),IF(100*51407/(F65-0)&lt;0.005,"*",100*51407/(F65-0)),0)</f>
        <v>13.226795794760433</v>
      </c>
    </row>
    <row r="11" spans="1:7" x14ac:dyDescent="0.2">
      <c r="A11" s="11" t="s">
        <v>116</v>
      </c>
      <c r="B11" s="17">
        <v>50509</v>
      </c>
      <c r="C11" s="17">
        <v>651</v>
      </c>
      <c r="D11" s="17">
        <v>37677</v>
      </c>
      <c r="E11" s="17">
        <v>38328</v>
      </c>
      <c r="F11" s="17">
        <v>486</v>
      </c>
      <c r="G11" s="18">
        <f>IF(AND(F65&lt;&gt;0,486&lt;&gt;0),IF(100*486/(F65-0)&lt;0.005,"*",100*486/(F65-0)),0)</f>
        <v>0.12504566997205768</v>
      </c>
    </row>
    <row r="12" spans="1:7" x14ac:dyDescent="0.2">
      <c r="A12" s="11" t="s">
        <v>117</v>
      </c>
      <c r="B12" s="17">
        <v>48759</v>
      </c>
      <c r="C12" s="17">
        <v>0</v>
      </c>
      <c r="D12" s="17">
        <v>41382</v>
      </c>
      <c r="E12" s="17">
        <v>41382</v>
      </c>
      <c r="F12" s="17">
        <v>0</v>
      </c>
      <c r="G12" s="18">
        <f>IF(AND(F65&lt;&gt;0,0&lt;&gt;0),IF(100*0/(F65-0)&lt;0.005,"*",100*0/(F65-0)),0)</f>
        <v>0</v>
      </c>
    </row>
    <row r="13" spans="1:7" x14ac:dyDescent="0.2">
      <c r="A13" s="11" t="s">
        <v>118</v>
      </c>
      <c r="B13" s="17">
        <v>7079</v>
      </c>
      <c r="C13" s="17">
        <v>5766</v>
      </c>
      <c r="D13" s="17">
        <v>4121</v>
      </c>
      <c r="E13" s="17">
        <v>9887</v>
      </c>
      <c r="F13" s="17">
        <v>3357</v>
      </c>
      <c r="G13" s="18">
        <f>IF(AND(F65&lt;&gt;0,3357&lt;&gt;0),IF(100*3357/(F65-0)&lt;0.005,"*",100*3357/(F65-0)),0)</f>
        <v>0.86374138702921333</v>
      </c>
    </row>
    <row r="14" spans="1:7" x14ac:dyDescent="0.2">
      <c r="A14" s="11" t="s">
        <v>119</v>
      </c>
      <c r="B14" s="17">
        <v>15223</v>
      </c>
      <c r="C14" s="17">
        <v>735</v>
      </c>
      <c r="D14" s="17">
        <v>14873</v>
      </c>
      <c r="E14" s="17">
        <v>15608</v>
      </c>
      <c r="F14" s="17">
        <v>718</v>
      </c>
      <c r="G14" s="18">
        <f>IF(AND(F65&lt;&gt;0,718&lt;&gt;0),IF(100*718/(F65-0)&lt;0.005,"*",100*718/(F65-0)),0)</f>
        <v>0.18473825316859552</v>
      </c>
    </row>
    <row r="15" spans="1:7" x14ac:dyDescent="0.2">
      <c r="A15" s="11" t="s">
        <v>120</v>
      </c>
      <c r="B15" s="17">
        <v>145985</v>
      </c>
      <c r="C15" s="17">
        <v>55652</v>
      </c>
      <c r="D15" s="17">
        <v>113604</v>
      </c>
      <c r="E15" s="17">
        <v>169256</v>
      </c>
      <c r="F15" s="17">
        <v>43308</v>
      </c>
      <c r="G15" s="18">
        <f>IF(AND(F65&lt;&gt;0,43308&lt;&gt;0),IF(100*43308/(F65-0)&lt;0.005,"*",100*43308/(F65-0)),0)</f>
        <v>11.142958590843364</v>
      </c>
    </row>
    <row r="16" spans="1:7" x14ac:dyDescent="0.2">
      <c r="A16" s="11" t="s">
        <v>121</v>
      </c>
      <c r="B16" s="17">
        <v>76928</v>
      </c>
      <c r="C16" s="17">
        <v>3122</v>
      </c>
      <c r="D16" s="17">
        <v>83079</v>
      </c>
      <c r="E16" s="17">
        <v>86201</v>
      </c>
      <c r="F16" s="17">
        <v>3372</v>
      </c>
      <c r="G16" s="18">
        <f>IF(AND(F65&lt;&gt;0,3372&lt;&gt;0),IF(100*3372/(F65-0)&lt;0.005,"*",100*3372/(F65-0)),0)</f>
        <v>0.86760082128761018</v>
      </c>
    </row>
    <row r="17" spans="1:7" x14ac:dyDescent="0.2">
      <c r="A17" s="11" t="s">
        <v>122</v>
      </c>
      <c r="B17" s="17">
        <v>21227</v>
      </c>
      <c r="C17" s="17">
        <v>0</v>
      </c>
      <c r="D17" s="17">
        <v>13585</v>
      </c>
      <c r="E17" s="17">
        <v>13585</v>
      </c>
      <c r="F17" s="17">
        <v>0</v>
      </c>
      <c r="G17" s="18">
        <f>IF(AND(F65&lt;&gt;0,0&lt;&gt;0),IF(100*0/(F65-0)&lt;0.005,"*",100*0/(F65-0)),0)</f>
        <v>0</v>
      </c>
    </row>
    <row r="18" spans="1:7" x14ac:dyDescent="0.2">
      <c r="A18" s="11" t="s">
        <v>123</v>
      </c>
      <c r="B18" s="17">
        <v>13083</v>
      </c>
      <c r="C18" s="17">
        <v>1835</v>
      </c>
      <c r="D18" s="17">
        <v>11366</v>
      </c>
      <c r="E18" s="17">
        <v>13201</v>
      </c>
      <c r="F18" s="17">
        <v>1594</v>
      </c>
      <c r="G18" s="18">
        <f>IF(AND(F65&lt;&gt;0,1594&lt;&gt;0),IF(100*1594/(F65-0)&lt;0.005,"*",100*1594/(F65-0)),0)</f>
        <v>0.41012921385897111</v>
      </c>
    </row>
    <row r="19" spans="1:7" x14ac:dyDescent="0.2">
      <c r="A19" s="11" t="s">
        <v>124</v>
      </c>
      <c r="B19" s="17">
        <v>281342</v>
      </c>
      <c r="C19" s="17">
        <v>69581</v>
      </c>
      <c r="D19" s="17">
        <v>135024</v>
      </c>
      <c r="E19" s="17">
        <v>204605</v>
      </c>
      <c r="F19" s="17">
        <v>33394</v>
      </c>
      <c r="G19" s="18">
        <f>IF(AND(F65&lt;&gt;0,33394&lt;&gt;0),IF(100*33394/(F65-0)&lt;0.005,"*",100*33394/(F65-0)),0)</f>
        <v>8.5921298416602774</v>
      </c>
    </row>
    <row r="20" spans="1:7" x14ac:dyDescent="0.2">
      <c r="A20" s="11" t="s">
        <v>125</v>
      </c>
      <c r="B20" s="17">
        <v>72697</v>
      </c>
      <c r="C20" s="17">
        <v>32072</v>
      </c>
      <c r="D20" s="17">
        <v>47904</v>
      </c>
      <c r="E20" s="17">
        <v>79976</v>
      </c>
      <c r="F20" s="17">
        <v>21134</v>
      </c>
      <c r="G20" s="18">
        <f>IF(AND(F65&lt;&gt;0,21134&lt;&gt;0),IF(100*21134/(F65-0)&lt;0.005,"*",100*21134/(F65-0)),0)</f>
        <v>5.4376855744639245</v>
      </c>
    </row>
    <row r="21" spans="1:7" x14ac:dyDescent="0.2">
      <c r="A21" s="11" t="s">
        <v>126</v>
      </c>
      <c r="B21" s="17">
        <v>35770</v>
      </c>
      <c r="C21" s="17">
        <v>18705</v>
      </c>
      <c r="D21" s="17">
        <v>25314</v>
      </c>
      <c r="E21" s="17">
        <v>44019</v>
      </c>
      <c r="F21" s="17">
        <v>13238</v>
      </c>
      <c r="G21" s="18">
        <f>IF(AND(F65&lt;&gt;0,13238&lt;&gt;0),IF(100*13238/(F65-0)&lt;0.005,"*",100*13238/(F65-0)),0)</f>
        <v>3.4060793808438268</v>
      </c>
    </row>
    <row r="22" spans="1:7" x14ac:dyDescent="0.2">
      <c r="A22" s="11" t="s">
        <v>127</v>
      </c>
      <c r="B22" s="17">
        <v>28684</v>
      </c>
      <c r="C22" s="17">
        <v>557</v>
      </c>
      <c r="D22" s="17">
        <v>26205</v>
      </c>
      <c r="E22" s="17">
        <v>26762</v>
      </c>
      <c r="F22" s="17">
        <v>509</v>
      </c>
      <c r="G22" s="18">
        <f>IF(AND(F65&lt;&gt;0,509&lt;&gt;0),IF(100*509/(F65-0)&lt;0.005,"*",100*509/(F65-0)),0)</f>
        <v>0.13096346916826618</v>
      </c>
    </row>
    <row r="23" spans="1:7" x14ac:dyDescent="0.2">
      <c r="A23" s="11" t="s">
        <v>128</v>
      </c>
      <c r="B23" s="17">
        <v>44321</v>
      </c>
      <c r="C23" s="17">
        <v>0</v>
      </c>
      <c r="D23" s="17">
        <v>44632</v>
      </c>
      <c r="E23" s="17">
        <v>44632</v>
      </c>
      <c r="F23" s="17">
        <v>0</v>
      </c>
      <c r="G23" s="18">
        <f>IF(AND(F65&lt;&gt;0,0&lt;&gt;0),IF(100*0/(F65-0)&lt;0.005,"*",100*0/(F65-0)),0)</f>
        <v>0</v>
      </c>
    </row>
    <row r="24" spans="1:7" x14ac:dyDescent="0.2">
      <c r="A24" s="11" t="s">
        <v>129</v>
      </c>
      <c r="B24" s="17">
        <v>53376</v>
      </c>
      <c r="C24" s="17">
        <v>36538</v>
      </c>
      <c r="D24" s="17">
        <v>30225</v>
      </c>
      <c r="E24" s="17">
        <v>66763</v>
      </c>
      <c r="F24" s="17">
        <v>20690</v>
      </c>
      <c r="G24" s="18">
        <f>IF(AND(F65&lt;&gt;0,20690&lt;&gt;0),IF(100*20690/(F65-0)&lt;0.005,"*",100*20690/(F65-0)),0)</f>
        <v>5.3234463204153784</v>
      </c>
    </row>
    <row r="25" spans="1:7" x14ac:dyDescent="0.2">
      <c r="A25" s="11" t="s">
        <v>130</v>
      </c>
      <c r="B25" s="17">
        <v>17715</v>
      </c>
      <c r="C25" s="17">
        <v>9530</v>
      </c>
      <c r="D25" s="17">
        <v>11945</v>
      </c>
      <c r="E25" s="17">
        <v>21475</v>
      </c>
      <c r="F25" s="17">
        <v>6426</v>
      </c>
      <c r="G25" s="18">
        <f>IF(AND(F65&lt;&gt;0,6426&lt;&gt;0),IF(100*6426/(F65-0)&lt;0.005,"*",100*6426/(F65-0)),0)</f>
        <v>1.6533816362972074</v>
      </c>
    </row>
    <row r="26" spans="1:7" x14ac:dyDescent="0.2">
      <c r="A26" s="11" t="s">
        <v>131</v>
      </c>
      <c r="B26" s="17">
        <v>80045</v>
      </c>
      <c r="C26" s="17">
        <v>0</v>
      </c>
      <c r="D26" s="17">
        <v>52859</v>
      </c>
      <c r="E26" s="17">
        <v>52859</v>
      </c>
      <c r="F26" s="17">
        <v>0</v>
      </c>
      <c r="G26" s="18">
        <f>IF(AND(F65&lt;&gt;0,0&lt;&gt;0),IF(100*0/(F65-0)&lt;0.005,"*",100*0/(F65-0)),0)</f>
        <v>0</v>
      </c>
    </row>
    <row r="27" spans="1:7" x14ac:dyDescent="0.2">
      <c r="A27" s="11" t="s">
        <v>132</v>
      </c>
      <c r="B27" s="17">
        <v>97395</v>
      </c>
      <c r="C27" s="17">
        <v>23259</v>
      </c>
      <c r="D27" s="17">
        <v>83923</v>
      </c>
      <c r="E27" s="17">
        <v>107182</v>
      </c>
      <c r="F27" s="17">
        <v>20042</v>
      </c>
      <c r="G27" s="18">
        <f>IF(AND(F65&lt;&gt;0,20042&lt;&gt;0),IF(100*20042/(F65-0)&lt;0.005,"*",100*20042/(F65-0)),0)</f>
        <v>5.1567187604526348</v>
      </c>
    </row>
    <row r="28" spans="1:7" x14ac:dyDescent="0.2">
      <c r="A28" s="11" t="s">
        <v>133</v>
      </c>
      <c r="B28" s="17">
        <v>167469</v>
      </c>
      <c r="C28" s="17">
        <v>9528</v>
      </c>
      <c r="D28" s="17">
        <v>119091</v>
      </c>
      <c r="E28" s="17">
        <v>128619</v>
      </c>
      <c r="F28" s="17">
        <v>6776</v>
      </c>
      <c r="G28" s="18">
        <f>IF(AND(F65&lt;&gt;0,6776&lt;&gt;0),IF(100*6776/(F65-0)&lt;0.005,"*",100*6776/(F65-0)),0)</f>
        <v>1.7434351023264669</v>
      </c>
    </row>
    <row r="29" spans="1:7" x14ac:dyDescent="0.2">
      <c r="A29" s="11" t="s">
        <v>134</v>
      </c>
      <c r="B29" s="17">
        <v>52899</v>
      </c>
      <c r="C29" s="17">
        <v>0</v>
      </c>
      <c r="D29" s="17">
        <v>53667</v>
      </c>
      <c r="E29" s="17">
        <v>53667</v>
      </c>
      <c r="F29" s="17">
        <v>0</v>
      </c>
      <c r="G29" s="18">
        <f>IF(AND(F65&lt;&gt;0,0&lt;&gt;0),IF(100*0/(F65-0)&lt;0.005,"*",100*0/(F65-0)),0)</f>
        <v>0</v>
      </c>
    </row>
    <row r="30" spans="1:7" x14ac:dyDescent="0.2">
      <c r="A30" s="11" t="s">
        <v>135</v>
      </c>
      <c r="B30" s="17">
        <v>29314</v>
      </c>
      <c r="C30" s="17">
        <v>5679</v>
      </c>
      <c r="D30" s="17">
        <v>24868</v>
      </c>
      <c r="E30" s="17">
        <v>30547</v>
      </c>
      <c r="F30" s="17">
        <v>4818</v>
      </c>
      <c r="G30" s="18">
        <f>IF(AND(F65&lt;&gt;0,4818&lt;&gt;0),IF(100*4818/(F65-0)&lt;0.005,"*",100*4818/(F65-0)),0)</f>
        <v>1.2396502837970658</v>
      </c>
    </row>
    <row r="31" spans="1:7" x14ac:dyDescent="0.2">
      <c r="A31" s="11" t="s">
        <v>136</v>
      </c>
      <c r="B31" s="17">
        <v>69920</v>
      </c>
      <c r="C31" s="17">
        <v>0</v>
      </c>
      <c r="D31" s="17">
        <v>65044</v>
      </c>
      <c r="E31" s="17">
        <v>65044</v>
      </c>
      <c r="F31" s="17">
        <v>0</v>
      </c>
      <c r="G31" s="18">
        <f>IF(AND(F65&lt;&gt;0,0&lt;&gt;0),IF(100*0/(F65-0)&lt;0.005,"*",100*0/(F65-0)),0)</f>
        <v>0</v>
      </c>
    </row>
    <row r="32" spans="1:7" x14ac:dyDescent="0.2">
      <c r="A32" s="11" t="s">
        <v>137</v>
      </c>
      <c r="B32" s="17">
        <v>14606</v>
      </c>
      <c r="C32" s="17">
        <v>0</v>
      </c>
      <c r="D32" s="17">
        <v>8780</v>
      </c>
      <c r="E32" s="17">
        <v>8780</v>
      </c>
      <c r="F32" s="17">
        <v>0</v>
      </c>
      <c r="G32" s="18">
        <f>IF(AND(F65&lt;&gt;0,0&lt;&gt;0),IF(100*0/(F65-0)&lt;0.005,"*",100*0/(F65-0)),0)</f>
        <v>0</v>
      </c>
    </row>
    <row r="33" spans="1:7" x14ac:dyDescent="0.2">
      <c r="A33" s="11" t="s">
        <v>138</v>
      </c>
      <c r="B33" s="17">
        <v>13331</v>
      </c>
      <c r="C33" s="17">
        <v>4890</v>
      </c>
      <c r="D33" s="17">
        <v>13620</v>
      </c>
      <c r="E33" s="17">
        <v>18510</v>
      </c>
      <c r="F33" s="17">
        <v>4996</v>
      </c>
      <c r="G33" s="18">
        <f>IF(AND(F65&lt;&gt;0,4996&lt;&gt;0),IF(100*4996/(F65-0)&lt;0.005,"*",100*4996/(F65-0)),0)</f>
        <v>1.2854489036633749</v>
      </c>
    </row>
    <row r="34" spans="1:7" x14ac:dyDescent="0.2">
      <c r="A34" s="11" t="s">
        <v>139</v>
      </c>
      <c r="B34" s="17">
        <v>20291</v>
      </c>
      <c r="C34" s="17">
        <v>1490</v>
      </c>
      <c r="D34" s="17">
        <v>21563</v>
      </c>
      <c r="E34" s="17">
        <v>23053</v>
      </c>
      <c r="F34" s="17">
        <v>1583</v>
      </c>
      <c r="G34" s="18">
        <f>IF(AND(F65&lt;&gt;0,1583&lt;&gt;0),IF(100*1583/(F65-0)&lt;0.005,"*",100*1583/(F65-0)),0)</f>
        <v>0.40729896206948013</v>
      </c>
    </row>
    <row r="35" spans="1:7" x14ac:dyDescent="0.2">
      <c r="A35" s="11" t="s">
        <v>140</v>
      </c>
      <c r="B35" s="17">
        <v>13323</v>
      </c>
      <c r="C35" s="17">
        <v>0</v>
      </c>
      <c r="D35" s="17">
        <v>12819</v>
      </c>
      <c r="E35" s="17">
        <v>12819</v>
      </c>
      <c r="F35" s="17">
        <v>0</v>
      </c>
      <c r="G35" s="18">
        <f>IF(AND(F65&lt;&gt;0,0&lt;&gt;0),IF(100*0/(F65-0)&lt;0.005,"*",100*0/(F65-0)),0)</f>
        <v>0</v>
      </c>
    </row>
    <row r="36" spans="1:7" x14ac:dyDescent="0.2">
      <c r="A36" s="11" t="s">
        <v>141</v>
      </c>
      <c r="B36" s="17">
        <v>100945</v>
      </c>
      <c r="C36" s="17">
        <v>38202</v>
      </c>
      <c r="D36" s="17">
        <v>66723</v>
      </c>
      <c r="E36" s="17">
        <v>104925</v>
      </c>
      <c r="F36" s="17">
        <v>25251</v>
      </c>
      <c r="G36" s="18">
        <f>IF(AND(F65&lt;&gt;0,25251&lt;&gt;0),IF(100*25251/(F65-0)&lt;0.005,"*",100*25251/(F65-0)),0)</f>
        <v>6.4969716305852447</v>
      </c>
    </row>
    <row r="37" spans="1:7" x14ac:dyDescent="0.2">
      <c r="A37" s="11" t="s">
        <v>142</v>
      </c>
      <c r="B37" s="17">
        <v>18502</v>
      </c>
      <c r="C37" s="17">
        <v>337</v>
      </c>
      <c r="D37" s="17">
        <v>18466</v>
      </c>
      <c r="E37" s="17">
        <v>18803</v>
      </c>
      <c r="F37" s="17">
        <v>337</v>
      </c>
      <c r="G37" s="18">
        <f>IF(AND(F65&lt;&gt;0,337&lt;&gt;0),IF(100*337/(F65-0)&lt;0.005,"*",100*337/(F65-0)),0)</f>
        <v>8.6708623005315733E-2</v>
      </c>
    </row>
    <row r="38" spans="1:7" x14ac:dyDescent="0.2">
      <c r="A38" s="11" t="s">
        <v>143</v>
      </c>
      <c r="B38" s="17">
        <v>507255</v>
      </c>
      <c r="C38" s="17">
        <v>20481</v>
      </c>
      <c r="D38" s="17">
        <v>317286</v>
      </c>
      <c r="E38" s="17">
        <v>337767</v>
      </c>
      <c r="F38" s="17">
        <v>12811</v>
      </c>
      <c r="G38" s="18">
        <f>IF(AND(F65&lt;&gt;0,12811&lt;&gt;0),IF(100*12811/(F65-0)&lt;0.005,"*",100*12811/(F65-0)),0)</f>
        <v>3.2962141522881301</v>
      </c>
    </row>
    <row r="39" spans="1:7" x14ac:dyDescent="0.2">
      <c r="A39" s="11" t="s">
        <v>144</v>
      </c>
      <c r="B39" s="17">
        <v>134107</v>
      </c>
      <c r="C39" s="17">
        <v>22329</v>
      </c>
      <c r="D39" s="17">
        <v>69191</v>
      </c>
      <c r="E39" s="17">
        <v>91520</v>
      </c>
      <c r="F39" s="17">
        <v>11520</v>
      </c>
      <c r="G39" s="18">
        <f>IF(AND(F65&lt;&gt;0,11520&lt;&gt;0),IF(100*11520/(F65-0)&lt;0.005,"*",100*11520/(F65-0)),0)</f>
        <v>2.9640455104487748</v>
      </c>
    </row>
    <row r="40" spans="1:7" x14ac:dyDescent="0.2">
      <c r="A40" s="11" t="s">
        <v>145</v>
      </c>
      <c r="B40" s="17">
        <v>5523</v>
      </c>
      <c r="C40" s="17">
        <v>0</v>
      </c>
      <c r="D40" s="17">
        <v>5680</v>
      </c>
      <c r="E40" s="17">
        <v>5680</v>
      </c>
      <c r="F40" s="17">
        <v>0</v>
      </c>
      <c r="G40" s="18">
        <f>IF(AND(F65&lt;&gt;0,0&lt;&gt;0),IF(100*0/(F65-0)&lt;0.005,"*",100*0/(F65-0)),0)</f>
        <v>0</v>
      </c>
    </row>
    <row r="41" spans="1:7" x14ac:dyDescent="0.2">
      <c r="A41" s="11" t="s">
        <v>146</v>
      </c>
      <c r="B41" s="17">
        <v>159154</v>
      </c>
      <c r="C41" s="17">
        <v>27696</v>
      </c>
      <c r="D41" s="17">
        <v>132606</v>
      </c>
      <c r="E41" s="17">
        <v>160302</v>
      </c>
      <c r="F41" s="17">
        <v>23077</v>
      </c>
      <c r="G41" s="18">
        <f>IF(AND(F65&lt;&gt;0,23077&lt;&gt;0),IF(100*23077/(F65-0)&lt;0.005,"*",100*23077/(F65-0)),0)</f>
        <v>5.9376109587349291</v>
      </c>
    </row>
    <row r="42" spans="1:7" x14ac:dyDescent="0.2">
      <c r="A42" s="11" t="s">
        <v>147</v>
      </c>
      <c r="B42" s="17">
        <v>27239</v>
      </c>
      <c r="C42" s="17">
        <v>0</v>
      </c>
      <c r="D42" s="17">
        <v>28612</v>
      </c>
      <c r="E42" s="17">
        <v>28612</v>
      </c>
      <c r="F42" s="17">
        <v>0</v>
      </c>
      <c r="G42" s="18">
        <f>IF(AND(F65&lt;&gt;0,0&lt;&gt;0),IF(100*0/(F65-0)&lt;0.005,"*",100*0/(F65-0)),0)</f>
        <v>0</v>
      </c>
    </row>
    <row r="43" spans="1:7" x14ac:dyDescent="0.2">
      <c r="A43" s="11" t="s">
        <v>148</v>
      </c>
      <c r="B43" s="17">
        <v>35616</v>
      </c>
      <c r="C43" s="17">
        <v>0</v>
      </c>
      <c r="D43" s="17">
        <v>36226</v>
      </c>
      <c r="E43" s="17">
        <v>36226</v>
      </c>
      <c r="F43" s="17">
        <v>0</v>
      </c>
      <c r="G43" s="18">
        <f>IF(AND(F65&lt;&gt;0,0&lt;&gt;0),IF(100*0/(F65-0)&lt;0.005,"*",100*0/(F65-0)),0)</f>
        <v>0</v>
      </c>
    </row>
    <row r="44" spans="1:7" x14ac:dyDescent="0.2">
      <c r="A44" s="11" t="s">
        <v>149</v>
      </c>
      <c r="B44" s="17">
        <v>231611</v>
      </c>
      <c r="C44" s="17">
        <v>3912</v>
      </c>
      <c r="D44" s="17">
        <v>189772</v>
      </c>
      <c r="E44" s="17">
        <v>193684</v>
      </c>
      <c r="F44" s="17">
        <v>3206</v>
      </c>
      <c r="G44" s="18">
        <f>IF(AND(F65&lt;&gt;0,3206&lt;&gt;0),IF(100*3206/(F65-0)&lt;0.005,"*",100*3206/(F65-0)),0)</f>
        <v>0.82488974882801847</v>
      </c>
    </row>
    <row r="45" spans="1:7" x14ac:dyDescent="0.2">
      <c r="A45" s="11" t="s">
        <v>150</v>
      </c>
      <c r="B45" s="17">
        <v>12072</v>
      </c>
      <c r="C45" s="17">
        <v>0</v>
      </c>
      <c r="D45" s="17">
        <v>16915</v>
      </c>
      <c r="E45" s="17">
        <v>16915</v>
      </c>
      <c r="F45" s="17">
        <v>0</v>
      </c>
      <c r="G45" s="18">
        <f>IF(AND(F65&lt;&gt;0,0&lt;&gt;0),IF(100*0/(F65-0)&lt;0.005,"*",100*0/(F65-0)),0)</f>
        <v>0</v>
      </c>
    </row>
    <row r="46" spans="1:7" x14ac:dyDescent="0.2">
      <c r="A46" s="11" t="s">
        <v>151</v>
      </c>
      <c r="B46" s="17">
        <v>36181</v>
      </c>
      <c r="C46" s="17">
        <v>0</v>
      </c>
      <c r="D46" s="17">
        <v>38920</v>
      </c>
      <c r="E46" s="17">
        <v>38920</v>
      </c>
      <c r="F46" s="17">
        <v>0</v>
      </c>
      <c r="G46" s="18">
        <f>IF(AND(F65&lt;&gt;0,0&lt;&gt;0),IF(100*0/(F65-0)&lt;0.005,"*",100*0/(F65-0)),0)</f>
        <v>0</v>
      </c>
    </row>
    <row r="47" spans="1:7" x14ac:dyDescent="0.2">
      <c r="A47" s="11" t="s">
        <v>152</v>
      </c>
      <c r="B47" s="17">
        <v>7242</v>
      </c>
      <c r="C47" s="17">
        <v>335</v>
      </c>
      <c r="D47" s="17">
        <v>7209</v>
      </c>
      <c r="E47" s="17">
        <v>7544</v>
      </c>
      <c r="F47" s="17">
        <v>334</v>
      </c>
      <c r="G47" s="18">
        <f>IF(AND(F65&lt;&gt;0,334&lt;&gt;0),IF(100*334/(F65-0)&lt;0.005,"*",100*334/(F65-0)),0)</f>
        <v>8.5936736153636353E-2</v>
      </c>
    </row>
    <row r="48" spans="1:7" x14ac:dyDescent="0.2">
      <c r="A48" s="11" t="s">
        <v>153</v>
      </c>
      <c r="B48" s="17">
        <v>50240</v>
      </c>
      <c r="C48" s="17">
        <v>0</v>
      </c>
      <c r="D48" s="17">
        <v>51954</v>
      </c>
      <c r="E48" s="17">
        <v>51954</v>
      </c>
      <c r="F48" s="17">
        <v>0</v>
      </c>
      <c r="G48" s="18">
        <f>IF(AND(F65&lt;&gt;0,0&lt;&gt;0),IF(100*0/(F65-0)&lt;0.005,"*",100*0/(F65-0)),0)</f>
        <v>0</v>
      </c>
    </row>
    <row r="49" spans="1:7" x14ac:dyDescent="0.2">
      <c r="A49" s="11" t="s">
        <v>154</v>
      </c>
      <c r="B49" s="17">
        <v>273805</v>
      </c>
      <c r="C49" s="17">
        <v>22613</v>
      </c>
      <c r="D49" s="17">
        <v>227742</v>
      </c>
      <c r="E49" s="17">
        <v>250355</v>
      </c>
      <c r="F49" s="17">
        <v>18809</v>
      </c>
      <c r="G49" s="18">
        <f>IF(AND(F65&lt;&gt;0,18809&lt;&gt;0),IF(100*18809/(F65-0)&lt;0.005,"*",100*18809/(F65-0)),0)</f>
        <v>4.8394732644124137</v>
      </c>
    </row>
    <row r="50" spans="1:7" x14ac:dyDescent="0.2">
      <c r="A50" s="11" t="s">
        <v>155</v>
      </c>
      <c r="B50" s="17">
        <v>23072</v>
      </c>
      <c r="C50" s="17">
        <v>702</v>
      </c>
      <c r="D50" s="17">
        <v>21211</v>
      </c>
      <c r="E50" s="17">
        <v>21913</v>
      </c>
      <c r="F50" s="17">
        <v>646</v>
      </c>
      <c r="G50" s="18">
        <f>IF(AND(F65&lt;&gt;0,646&lt;&gt;0),IF(100*646/(F65-0)&lt;0.005,"*",100*646/(F65-0)),0)</f>
        <v>0.16621296872829069</v>
      </c>
    </row>
    <row r="51" spans="1:7" x14ac:dyDescent="0.2">
      <c r="A51" s="11" t="s">
        <v>156</v>
      </c>
      <c r="B51" s="17">
        <v>7703</v>
      </c>
      <c r="C51" s="17">
        <v>0</v>
      </c>
      <c r="D51" s="17">
        <v>8061</v>
      </c>
      <c r="E51" s="17">
        <v>8061</v>
      </c>
      <c r="F51" s="17">
        <v>0</v>
      </c>
      <c r="G51" s="18">
        <f>IF(AND(F65&lt;&gt;0,0&lt;&gt;0),IF(100*0/(F65-0)&lt;0.005,"*",100*0/(F65-0)),0)</f>
        <v>0</v>
      </c>
    </row>
    <row r="52" spans="1:7" x14ac:dyDescent="0.2">
      <c r="A52" s="11" t="s">
        <v>157</v>
      </c>
      <c r="B52" s="17">
        <v>60841</v>
      </c>
      <c r="C52" s="17">
        <v>8591</v>
      </c>
      <c r="D52" s="17">
        <v>51693</v>
      </c>
      <c r="E52" s="17">
        <v>60284</v>
      </c>
      <c r="F52" s="17">
        <v>7299</v>
      </c>
      <c r="G52" s="18">
        <f>IF(AND(F65&lt;&gt;0,7299&lt;&gt;0),IF(100*7299/(F65-0)&lt;0.005,"*",100*7299/(F65-0)),0)</f>
        <v>1.8780007101359035</v>
      </c>
    </row>
    <row r="53" spans="1:7" x14ac:dyDescent="0.2">
      <c r="A53" s="11" t="s">
        <v>158</v>
      </c>
      <c r="B53" s="17">
        <v>67656</v>
      </c>
      <c r="C53" s="17">
        <v>4799</v>
      </c>
      <c r="D53" s="17">
        <v>55190</v>
      </c>
      <c r="E53" s="17">
        <v>59989</v>
      </c>
      <c r="F53" s="17">
        <v>3914</v>
      </c>
      <c r="G53" s="18">
        <f>IF(AND(F65&lt;&gt;0,3914&lt;&gt;0),IF(100*3914/(F65-0)&lt;0.005,"*",100*3914/(F65-0)),0)</f>
        <v>1.0070550458243495</v>
      </c>
    </row>
    <row r="54" spans="1:7" x14ac:dyDescent="0.2">
      <c r="A54" s="11" t="s">
        <v>159</v>
      </c>
      <c r="B54" s="17">
        <v>20242</v>
      </c>
      <c r="C54" s="17">
        <v>0</v>
      </c>
      <c r="D54" s="17">
        <v>21451</v>
      </c>
      <c r="E54" s="17">
        <v>21451</v>
      </c>
      <c r="F54" s="17">
        <v>0</v>
      </c>
      <c r="G54" s="18">
        <f>IF(AND(F65&lt;&gt;0,0&lt;&gt;0),IF(100*0/(F65-0)&lt;0.005,"*",100*0/(F65-0)),0)</f>
        <v>0</v>
      </c>
    </row>
    <row r="55" spans="1:7" x14ac:dyDescent="0.2">
      <c r="A55" s="11" t="s">
        <v>160</v>
      </c>
      <c r="B55" s="17">
        <v>38173</v>
      </c>
      <c r="C55" s="17">
        <v>6303</v>
      </c>
      <c r="D55" s="17">
        <v>54801</v>
      </c>
      <c r="E55" s="17">
        <v>61104</v>
      </c>
      <c r="F55" s="17">
        <v>9049</v>
      </c>
      <c r="G55" s="18">
        <f>IF(AND(F65&lt;&gt;0,9049&lt;&gt;0),IF(100*9049/(F65-0)&lt;0.005,"*",100*9049/(F65-0)),0)</f>
        <v>2.328268040282202</v>
      </c>
    </row>
    <row r="56" spans="1:7" x14ac:dyDescent="0.2">
      <c r="A56" s="11" t="s">
        <v>161</v>
      </c>
      <c r="B56" s="17">
        <v>3465</v>
      </c>
      <c r="C56" s="17">
        <v>0</v>
      </c>
      <c r="D56" s="17">
        <v>3968</v>
      </c>
      <c r="E56" s="17">
        <v>3968</v>
      </c>
      <c r="F56" s="17">
        <v>0</v>
      </c>
      <c r="G56" s="18">
        <f>IF(AND(F65&lt;&gt;0,0&lt;&gt;0),IF(100*0/(F65-0)&lt;0.005,"*",100*0/(F65-0)),0)</f>
        <v>0</v>
      </c>
    </row>
    <row r="57" spans="1:7" x14ac:dyDescent="0.2">
      <c r="A57" s="11" t="s">
        <v>162</v>
      </c>
      <c r="B57" s="17">
        <v>942</v>
      </c>
      <c r="C57" s="17">
        <v>3110</v>
      </c>
      <c r="D57" s="17">
        <v>217</v>
      </c>
      <c r="E57" s="17">
        <v>3327</v>
      </c>
      <c r="F57" s="17">
        <v>715</v>
      </c>
      <c r="G57" s="18">
        <f>IF(AND(F65&lt;&gt;0,715&lt;&gt;0),IF(100*715/(F65-0)&lt;0.005,"*",100*715/(F65-0)),0)</f>
        <v>0.18396636631691615</v>
      </c>
    </row>
    <row r="58" spans="1:7" x14ac:dyDescent="0.2">
      <c r="A58" s="11" t="s">
        <v>163</v>
      </c>
      <c r="B58" s="17">
        <v>3096</v>
      </c>
      <c r="C58" s="17">
        <v>964</v>
      </c>
      <c r="D58" s="17">
        <v>2383</v>
      </c>
      <c r="E58" s="17">
        <v>3347</v>
      </c>
      <c r="F58" s="17">
        <v>742</v>
      </c>
      <c r="G58" s="18">
        <f>IF(AND(F65&lt;&gt;0,742&lt;&gt;0),IF(100*742/(F65-0)&lt;0.005,"*",100*742/(F65-0)),0)</f>
        <v>0.19091334798203047</v>
      </c>
    </row>
    <row r="59" spans="1:7" x14ac:dyDescent="0.2">
      <c r="A59" s="11" t="s">
        <v>164</v>
      </c>
      <c r="B59" s="17">
        <v>967</v>
      </c>
      <c r="C59" s="17">
        <v>0</v>
      </c>
      <c r="D59" s="17">
        <v>961</v>
      </c>
      <c r="E59" s="17">
        <v>961</v>
      </c>
      <c r="F59" s="17">
        <v>0</v>
      </c>
      <c r="G59" s="18">
        <f>IF(AND(F65&lt;&gt;0,0&lt;&gt;0),IF(100*0/(F65-0)&lt;0.005,"*",100*0/(F65-0)),0)</f>
        <v>0</v>
      </c>
    </row>
    <row r="60" spans="1:7" x14ac:dyDescent="0.2">
      <c r="A60" s="11" t="s">
        <v>165</v>
      </c>
      <c r="B60" s="17">
        <v>54134</v>
      </c>
      <c r="C60" s="17">
        <v>6267</v>
      </c>
      <c r="D60" s="17">
        <v>51666</v>
      </c>
      <c r="E60" s="17">
        <v>57933</v>
      </c>
      <c r="F60" s="17">
        <v>5981</v>
      </c>
      <c r="G60" s="18">
        <f>IF(AND(F65&lt;&gt;0,5981&lt;&gt;0),IF(100*5981/(F65-0)&lt;0.005,"*",100*5981/(F65-0)),0)</f>
        <v>1.5388850866314343</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1984</v>
      </c>
      <c r="C62" s="17">
        <v>1983</v>
      </c>
      <c r="D62" s="17">
        <v>991</v>
      </c>
      <c r="E62" s="17">
        <v>2974</v>
      </c>
      <c r="F62" s="17">
        <v>991</v>
      </c>
      <c r="G62" s="18">
        <f>IF(AND(F65&lt;&gt;0,991&lt;&gt;0),IF(100*991/(F65-0)&lt;0.005,"*",100*991/(F65-0)),0)</f>
        <v>0.25497995667141804</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0</v>
      </c>
      <c r="C64" s="17">
        <v>0</v>
      </c>
      <c r="D64" s="17">
        <v>0</v>
      </c>
      <c r="E64" s="17">
        <v>0</v>
      </c>
      <c r="F64" s="17">
        <v>0</v>
      </c>
      <c r="G64" s="18">
        <v>0</v>
      </c>
    </row>
    <row r="65" spans="1:7" ht="15" customHeight="1" x14ac:dyDescent="0.2">
      <c r="A65" s="19" t="s">
        <v>110</v>
      </c>
      <c r="B65" s="20">
        <f>48408+4744+45490+24195+435455+50509+48759+7079+15223+145985+76928+21227+13083+281342+72697+35770+28684+44321+53376+17715+80045+97395+167469+52899+29314+69920+14606+13331+20291+13323+100945+18502+507255+134107+5523+159154+27239+35616+231611+12072+36181+7242+50240+273805+23072+7703+60841+67656+20242+38173+3465+942+3096+967+54134+0+1984+0+0+0</f>
        <v>3911350</v>
      </c>
      <c r="C65" s="20">
        <f>2489+7511+24363+816+63692+651+0+5766+735+55652+3122+0+1835+69581+32072+18705+557+0+36538+9530+0+23259+9528+0+5679+0+0+4890+1490+0+38202+337+20481+22329+0+27696+0+0+3912+0+0+335+0+22613+702+0+8591+4799+0+6303+0+3110+964+0+6267+0+1983+0+0+0</f>
        <v>547085</v>
      </c>
      <c r="D65" s="20">
        <f>42721+1939+37322+25827+351468+37677+41382+4121+14873+113604+83079+13585+11366+135024+47904+25314+26205+44632+30225+11945+52859+83923+119091+53667+24868+65044+8780+13620+21563+12819+66723+18466+317286+69191+5680+132606+28612+36226+189772+16915+38920+7209+51954+227742+21211+8061+51693+55190+21451+54801+3968+217+2383+961+51666+0+991+0+0+0</f>
        <v>3036342</v>
      </c>
      <c r="E65" s="20">
        <f>SUM(C65:D65)</f>
        <v>3583427</v>
      </c>
      <c r="F65" s="20">
        <f>2197+3071+19989+871+51407+486+0+3357+718+43308+3372+0+1594+33394+21134+13238+509+0+20690+6426+0+20042+6776+0+4818+0+0+4996+1583+0+25251+337+12811+11520+0+23077+0+0+3206+0+0+334+0+18809+646+0+7299+3914+0+9049+0+715+742+0+5981+0+991+0+0+0</f>
        <v>388658</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7641-F81B-4E36-B6F5-DFEEFF7CD79D}">
  <dimension ref="A1:G56"/>
  <sheetViews>
    <sheetView workbookViewId="0"/>
  </sheetViews>
  <sheetFormatPr defaultRowHeight="12.75" x14ac:dyDescent="0.2"/>
  <cols>
    <col min="1" max="1" width="76.140625" customWidth="1"/>
    <col min="2" max="7" width="11.7109375" customWidth="1"/>
  </cols>
  <sheetData>
    <row r="1" spans="1:7" x14ac:dyDescent="0.2">
      <c r="A1" s="13" t="s">
        <v>501</v>
      </c>
      <c r="B1" s="14"/>
      <c r="C1" s="14"/>
      <c r="D1" s="14"/>
      <c r="E1" s="14"/>
      <c r="F1" s="14"/>
      <c r="G1" s="14"/>
    </row>
    <row r="2" spans="1:7" x14ac:dyDescent="0.2">
      <c r="A2" s="14" t="s">
        <v>502</v>
      </c>
      <c r="B2" s="14"/>
      <c r="C2" s="14"/>
      <c r="D2" s="14"/>
      <c r="E2" s="14"/>
      <c r="F2" s="14"/>
      <c r="G2" s="14"/>
    </row>
    <row r="3" spans="1:7" x14ac:dyDescent="0.2">
      <c r="A3" s="57" t="s">
        <v>503</v>
      </c>
      <c r="B3" s="57" t="s">
        <v>504</v>
      </c>
      <c r="C3" s="16" t="s">
        <v>105</v>
      </c>
      <c r="D3" s="16"/>
      <c r="E3" s="16"/>
      <c r="F3" s="57" t="s">
        <v>106</v>
      </c>
    </row>
    <row r="4" spans="1:7" ht="25.5" customHeight="1" x14ac:dyDescent="0.2">
      <c r="A4" s="58"/>
      <c r="B4" s="58"/>
      <c r="C4" s="42" t="s">
        <v>108</v>
      </c>
      <c r="D4" s="42" t="s">
        <v>505</v>
      </c>
      <c r="E4" s="42" t="s">
        <v>110</v>
      </c>
      <c r="F4" s="58"/>
    </row>
    <row r="5" spans="1:7" x14ac:dyDescent="0.2">
      <c r="A5" s="12" t="s">
        <v>99</v>
      </c>
      <c r="B5" s="43"/>
      <c r="C5" s="43"/>
      <c r="D5" s="43"/>
      <c r="E5" s="43"/>
      <c r="F5" s="43"/>
      <c r="G5" s="12"/>
    </row>
    <row r="6" spans="1:7" x14ac:dyDescent="0.2">
      <c r="A6" s="44" t="s">
        <v>506</v>
      </c>
      <c r="B6" s="43">
        <f>(80973+12468+97007+58327+547115+45090+37463+14512+11615+274585+198044+11150+17382+148805+82547+28631+33360+101933+92829+13328+69606+68919+120642+52740+65250+80729+10821+20409+40730+5573+100527+43146+271487+140626+6156+125912+56548+38524+132453+10581+84386+7212+111882+622478+22845+6545+99049+59232+42702+54948+4225+0+3611+0+24189+0+607+0+140215+0)/1000</f>
        <v>4652.6689999999999</v>
      </c>
      <c r="C6" s="43">
        <f>(0+0+0+0+0+0+0+0+0+0+0+0+0+0+0+0+0+0+0+0+0+0+0+0+0+0+0+0+0+0+0+0+0+0+0+0+0+0+0+0+0+0+0+0+0+0+0+0+0+0+0+0+0+0+0+0+0+0+0+0)/1000</f>
        <v>0</v>
      </c>
      <c r="D6" s="43">
        <f>(86696+13349+103863+62449+585783+48277+40111+15538+12436+293992+212041+11938+18611+159322+88381+30655+35718+109137+99390+14270+74526+73790+129169+56468+69862+86435+11586+21851+43609+5967+107632+46195+290675+150565+6591+134811+60545+41247+141814+11329+90350+7722+119789+666473+24460+7008+106049+63418+45720+58832+4524+0+3866+0+25899+0+650+0+0+0)/1000</f>
        <v>4831.384</v>
      </c>
      <c r="E6" s="43">
        <f>SUM(C6:D6)</f>
        <v>4831.384</v>
      </c>
      <c r="F6" s="43">
        <f>(90423+13923+108328+65134+610967+50352+41835+16206+12971+306631+221157+12451+19411+166172+92181+31972+37253+113829+103663+14883+77730+76962+134722+58895+72865+90151+12084+22791+45483+6223+112259+48181+303171+157038+6874+140607+63148+43020+147911+11816+94234+8054+124939+695125+25511+7309+110609+66145+47686+61361+4718+0+4032+0+27012+0+678+0+0+0)/1000</f>
        <v>5039.0860000000002</v>
      </c>
    </row>
    <row r="7" spans="1:7" x14ac:dyDescent="0.2">
      <c r="A7" s="44" t="s">
        <v>507</v>
      </c>
      <c r="B7" s="43">
        <f>(215826+36489+281436+141425+1565146+130318+119283+37430+28579+870043+528392+47152+51392+462322+272045+116347+107237+242146+254076+37401+179538+203186+322723+164214+173342+209630+29029+76980+107382+21759+268307+101517+819606+391380+22147+359773+157348+111838+412137+31906+219728+28078+279448+1576613+101074+15330+262812+204455+82357+173572+14533+0+9814+0+101507+0+3177+0+119383+0)/1000</f>
        <v>12900.108</v>
      </c>
      <c r="C7" s="43">
        <f>(28265+4779+36857+18521+204972+17066+15621+4902+3743+113941+69198+6175+6730+60546+35627+15237+14044+31712+33274+4898+23512+26609+42264+21506+22701+27453+3802+10081+14063+2850+35138+13295+107336+51255+2900+47116+20606+14646+53974+4178+28776+3677+36597+206474+13237+2008+34418+26776+10786+22731+1903+0+1285+0+13293+0+416+0+0+0)/1000</f>
        <v>1673.77</v>
      </c>
      <c r="D7" s="43">
        <f>(204587+34589+266780+134060+1485642+123532+113071+35481+27091+824736+500876+44697+48716+438247+257879+110288+101653+229536+240845+35453+170189+192605+305917+155663+164315+198714+27517+72971+101790+20626+254335+96231+776926+370999+20994+341038+149154+106014+390675+30245+208286+26616+264896+1494512+95811+14532+249126+193808+78068+164533+13776+0+9303+0+96221+0+3012+0+0+0)/1000</f>
        <v>12117.177</v>
      </c>
      <c r="E7" s="43">
        <f>SUM(C7:D7)</f>
        <v>13790.947</v>
      </c>
      <c r="F7" s="43">
        <f>(235017+39734+306461+154000+1706315+141906+129889+40758+31120+947405+575375+51345+55962+503430+296235+126692+116772+263677+276668+40727+195502+221253+351419+178815+188755+228270+31610+83825+116930+23694+292164+110544+892483+426181+24116+391763+171339+121782+448783+34743+239266+30575+304296+1716801+110061+16693+286181+222635+89680+189006+15825+0+10687+0+110533+0+3459+0+0+0)/1000</f>
        <v>13919.156999999999</v>
      </c>
    </row>
    <row r="8" spans="1:7" x14ac:dyDescent="0.2">
      <c r="A8" s="44" t="s">
        <v>508</v>
      </c>
      <c r="B8" s="43">
        <f>(99235+19893+91830+61406+931995+66036+42582+13736+12920+360876+189657+28036+25756+192154+103207+40272+43344+84995+105635+15455+103995+86033+170398+90751+77069+77534+14826+28091+49713+9455+143231+31284+434524+181084+9546+142394+24935+65238+181839+17087+81977+14968+110848+486646+38899+12037+96009+130568+32796+74488+6178+6715+9615+4320+180771+0+5609+63102+82308+0)/1000</f>
        <v>5905.9009999999998</v>
      </c>
      <c r="C8" s="43">
        <f>(20485+4106+18956+12676+192388+13632+8790+2835+2667+74494+39150+5787+5317+39665+21305+8313+8947+17545+21806+3190+21467+17759+35175+18733+15909+16005+3060+5799+10262+1952+29567+6458+89697+37380+1971+29394+5147+13467+37536+3527+16922+3090+22882+100456+8030+2485+19819+26953+6770+15376+1275+1386+1985+892+37316+0+1158+13026+0+0)/1000</f>
        <v>1202.1400000000001</v>
      </c>
      <c r="D8" s="43">
        <f>(72487+14531+67078+44854+680779+48236+31104+10034+9437+263603+138536+20479+18814+140359+75388+29417+31661+62085+77161+11289+75963+62843+124468+66289+56295+56635+10830+20519+36313+6906+104624+22851+317399+132273+6973+104012+18214+47653+132825+12481+59880+10933+80969+355472+28414+8792+70130+95374+23956+54410+4513+4905+7023+3156+132045+0+4097+46093+0+0)/1000</f>
        <v>4253.8599999999997</v>
      </c>
      <c r="E8" s="43">
        <f>SUM(C8:D8)</f>
        <v>5456</v>
      </c>
      <c r="F8" s="43">
        <f>(93082+18660+86136+57599+874207+61941+39942+12884+12119+338500+177897+26298+24159+180239+96808+37775+40656+79725+99085+14497+97547+80699+159832+85124+72290+72726+13907+26349+46631+8869+134350+29344+407581+169856+8954+133565+23389+61193+170564+16028+76894+14040+103975+456471+36487+11291+90056+122472+30762+69869+5795+6299+9019+4052+169562+0+5261+59189+0+0)/1000</f>
        <v>5462.5010000000002</v>
      </c>
    </row>
    <row r="9" spans="1:7" x14ac:dyDescent="0.2">
      <c r="A9" s="44" t="s">
        <v>509</v>
      </c>
      <c r="B9" s="43">
        <f>(62668+8922+55021+50821+467013+26813+19328+18704+10686+286037+126179+6747+8076+145732+57516+27412+31426+46868+98522+8643+54263+66231+70367+71711+49974+58289+11343+29013+13138+4830+88238+34211+243813+100966+9509+94275+62246+33846+124910+8925+35173+8154+67830+437394+27866+6223+50733+46979+17174+38244+4738+0+418+0+22999+0+828+0+193499+0)/1000</f>
        <v>3751.4839999999999</v>
      </c>
      <c r="C9" s="43">
        <f>(0+0+0+0+0+0+0+0+0+0+0+0+0+0+0+0+0+0+0+0+0+0+0+0+0+0+0+0+0+0+0+0+0+0+0+0+0+0+0+0+0+0+0+0+0+0+0+0+0+0+0+0+0+0+0+0+0+0+0+0)/1000</f>
        <v>0</v>
      </c>
      <c r="D9" s="43">
        <f>(67560+9618+59316+54788+503466+28906+20837+20164+11520+308364+136028+7274+8706+157107+62005+29552+33879+50526+106212+9318+58499+71401+75859+77308+53875+62839+12228+31278+14163+5207+95125+36881+262844+108847+10251+101634+67105+36488+134660+9622+37918+8790+73124+471535+30041+6709+54693+50646+18515+41229+5108+0+451+0+24794+0+893+0+0+0)/1000</f>
        <v>3835.7060000000001</v>
      </c>
      <c r="E9" s="43">
        <f>SUM(C9:D9)</f>
        <v>3835.7060000000001</v>
      </c>
      <c r="F9" s="43">
        <f>(72244+10285+63428+58587+538373+30910+22281+21562+12319+329744+145459+7778+9310+168000+66305+31601+36228+54030+113576+9964+62554+76351+81119+82669+57610+67196+13076+33446+15146+5568+101721+39438+281068+116394+10962+108680+71757+39018+143996+10289+40547+9400+78195+504229+32124+7174+58485+54157+19798+44088+5462+0+482+0+26513+0+955+0+0+0)/1000</f>
        <v>4101.6509999999998</v>
      </c>
    </row>
    <row r="10" spans="1:7" ht="25.5" x14ac:dyDescent="0.2">
      <c r="A10" s="44" t="s">
        <v>510</v>
      </c>
      <c r="B10" s="43">
        <f>(66350+14129+70291+32728+1020499+56498+62413+13425+21560+86076+91968+24925+11171+121836+61335+21018+27256+71822+76544+17215+82132+69807+119809+68962+30894+49286+11524+18906+29557+9759+167400+26161+350416+133772+11477+123972+32130+119212+199034+17496+26786+8716+79676+208414+18359+10136+123222+111431+18247+76350+6905+0+2145+0+0+0+3765+0+301314+0)/1000</f>
        <v>4636.2309999999998</v>
      </c>
      <c r="C10" s="43">
        <f>(66+14+70+32+1013+56+62+13+21+85+91+25+11+121+61+21+27+71+76+17+81+69+119+68+31+49+11+19+29+10+166+26+348+133+11+123+32+118+198+17+27+9+79+207+18+10+122+111+18+76+7+0+2+0+0+0+4+0+0+0)/1000</f>
        <v>4.3010000000000002</v>
      </c>
      <c r="D10" s="43">
        <f>(92081+19608+97551+45420+1416260+78409+86617+18631+29921+119457+127634+34591+15503+169085+85121+29169+37826+99675+106229+23891+113984+96879+166272+95706+42875+68400+15993+26238+41020+13544+232320+36307+486311+185650+15928+172050+44590+165444+276222+24281+37174+12096+110575+289239+25479+14067+171009+154645+25323+105959+9583+0+2977+0+0+0+5225+0+0+0)/1000</f>
        <v>6016.0439999999999</v>
      </c>
      <c r="E10" s="43">
        <f>SUM(C10:D10)</f>
        <v>6020.3450000000003</v>
      </c>
      <c r="F10" s="43">
        <f>(91012+19381+96418+44893+1399819+77498+85612+18415+29574+118070+126153+34190+15323+167123+84133+28830+37387+98518+104995+23614+112661+95754+164342+94595+42377+67606+15807+25933+40543+13386+229623+35885+480666+183495+15743+170052+44073+163523+273015+23999+36742+11956+109292+285882+25183+13904+169024+152850+25029+104729+9472+0+2942+0+0+0+5164+0+0+0)/1000</f>
        <v>5946.2049999999999</v>
      </c>
    </row>
    <row r="11" spans="1:7" x14ac:dyDescent="0.2">
      <c r="A11" s="12" t="s">
        <v>179</v>
      </c>
      <c r="B11" s="43"/>
      <c r="C11" s="43"/>
      <c r="D11" s="43"/>
      <c r="E11" s="43"/>
      <c r="F11" s="43"/>
      <c r="G11" s="12"/>
    </row>
    <row r="12" spans="1:7" x14ac:dyDescent="0.2">
      <c r="A12" s="44" t="s">
        <v>511</v>
      </c>
      <c r="B12" s="43">
        <f>(65444+12069+93556+45426+315662+47794+29114+13920+14926+195467+100000+13380+20058+115032+64053+33506+28476+58866+34327+16797+47197+55269+120373+54795+44681+70929+10260+25546+22677+11426+64594+26189+160156+110913+10869+99549+42141+60602+156359+13107+66608+10869+54964+248761+35086+13312+78060+68564+32388+64836+10869+919+2076+854+44857+0+2099+0+0+0)/1000</f>
        <v>3260.627</v>
      </c>
      <c r="C12" s="43">
        <f>(0+0+0+0+0+0+0+0+0+0+0+0+0+0+0+0+0+0+0+0+0+0+0+0+0+0+0+0+0+0+0+0+0+0+0+0+0+0+0+0+0+0+0+0+0+0+0+0+0+0+0+0+0+0+0+0+0+0+0+0)/1000</f>
        <v>0</v>
      </c>
      <c r="D12" s="43">
        <f>(67851+11173+78878+40463+292346+47719+22093+11173+15362+210234+118961+12773+20579+117478+79793+35525+30812+60868+61053+16733+46156+48820+115124+51822+46749+73001+9282+19620+28512+11713+62582+27300+147998+121201+11173+138485+47904+43325+132750+11173+64103+11173+80877+287842+35396+11173+75156+58681+27822+64028+11173+932+3134+873+67571+0+2143+0+3164+0)/1000</f>
        <v>3351.7979999999998</v>
      </c>
      <c r="E12" s="43">
        <f>SUM(C12:D12)</f>
        <v>3351.7979999999998</v>
      </c>
      <c r="F12" s="43">
        <f>(73009+12075+87077+43512+315630+52150+23572+12075+16410+230039+129763+13784+22661+125957+86281+38170+33195+65365+65248+17969+49654+51846+123878+55899+49964+78602+13468+21125+31606+12580+66872+29485+157558+131964+12075+148692+51690+47103+142017+12075+69835+12075+87644+314708+38851+12075+81068+64002+29594+68843+12075+994+3378+943+72081+0+2290+0+0+0)/1000</f>
        <v>3622.5509999999999</v>
      </c>
    </row>
    <row r="13" spans="1:7" x14ac:dyDescent="0.2">
      <c r="A13" s="44" t="s">
        <v>512</v>
      </c>
      <c r="B13" s="43">
        <f>(191704+39093+215703+118077+1289887+168564+140425+38070+20101+678801+363688+41986+59643+534101+273053+128974+112638+166784+198964+57807+211199+299889+421469+200247+126410+239942+39843+78884+82056+50130+381858+96223+801337+355552+32462+460721+156666+135895+449732+46198+186823+37703+250893+1075096+121521+31299+299991+232882+80231+219604+32836+7130+16818+5089+128646+6579+8975+97500+0+20000+0+0)/1000</f>
        <v>12364.392</v>
      </c>
      <c r="C13" s="43">
        <f>(0+0+0+0+0+0+0+0+0+0+0+0+0+0+0+0+0+0+0+0+0+0+0+0+0+0+0+0+0+0+0+0+0+0+0+0+0+0+0+0+0+0+0+0+0+0+0+0+0+0+0+0+0+0+0+0+0+0+0+0+0+0)/1000</f>
        <v>0</v>
      </c>
      <c r="D13" s="43">
        <f>(197338+40434+225998+121548+1327802+176600+144548+39413+21059+702252+381031+43220+62486+549779+281079+132762+115949+171686+204811+59501+217406+308688+433847+206133+130125+246991+41185+81202+85973+51601+393060+99050+824854+372501+34006+474262+161933+136479+462948+47553+192315+39046+258272+1126359+127317+32787+308813+241300+82585+226055+34397+7141+16877+5050+132433+6579+8945+99028+0+10000+0+0)/1000</f>
        <v>12764.392</v>
      </c>
      <c r="E13" s="43">
        <f>SUM(C13:D13)</f>
        <v>12764.392</v>
      </c>
      <c r="F13" s="43">
        <f>(198677+40760+229327+122372+1336803+177790+145533+39737+21533+706998+383594+43513+62907+553527+282984+133665+116735+172850+206200+59910+218881+310797+436798+207530+131008+248669+41510+81753+87904+51953+395747+99723+830483+375013+34775+477479+163027+140838+466090+47878+193619+39370+260019+1133942+128173+33530+310902+242930+83149+227591+35176+6965+16961+5288+133325+6579+8798+99804+0+50000+0+0)/1000</f>
        <v>12899.392</v>
      </c>
    </row>
    <row r="14" spans="1:7" x14ac:dyDescent="0.2">
      <c r="A14" s="12" t="s">
        <v>185</v>
      </c>
      <c r="B14" s="43"/>
      <c r="C14" s="43"/>
      <c r="D14" s="43"/>
      <c r="E14" s="43"/>
      <c r="F14" s="43"/>
      <c r="G14" s="12"/>
    </row>
    <row r="15" spans="1:7" x14ac:dyDescent="0.2">
      <c r="A15" s="44" t="s">
        <v>513</v>
      </c>
      <c r="B15" s="43">
        <f>(257319+45609+339128+157131+1963513+145897+131135+52114+49085+898113+538160+51230+58230+671396+257161+87956+100955+231667+341692+53336+242109+252965+469889+166981+205452+248761+48946+77333+136383+44616+366132+129745+1219497+466200+39467+581146+190662+145184+630162+54762+255374+48946+308799+1512298+81619+36920+279166+256762+101309+207563+38596+19447+21071+11755+405828+1000+10146+110984+5000+0)/1000</f>
        <v>15859.802</v>
      </c>
      <c r="C15" s="43">
        <f>(0+0+0+0+0+0+0+0+0+0+0+0+0+0+0+0+0+0+0+0+0+0+0+0+0+0+0+0+0+0+0+0+0+0+0+0+0+0+0+0+0+0+0+0+0+0+0+0+0+0+0+0+0+0+0+0+0+0+0+0)/1000</f>
        <v>0</v>
      </c>
      <c r="D15" s="43">
        <f>(266757+47237+346165+166713+2001305+153676+144720+54692+50815+922111+557193+54140+58591+665909+264855+102841+109913+266720+345069+55215+253690+243871+494115+173378+212689+258910+50504+74694+138969+46125+369115+130618+1197143+475605+40347+592541+200023+150325+663422+55673+276252+50504+328294+1628805+81915+37853+276448+250009+101134+206974+40125+20008+21679+12094+390742+1000+10438+114134+5000+0)/1000</f>
        <v>16309.802</v>
      </c>
      <c r="E15" s="43">
        <f>SUM(C15:D15)</f>
        <v>16309.802</v>
      </c>
      <c r="F15" s="43">
        <f>(0+0+0+0+0+0+0+0+0+0+0+0+0+0+0+0+0+0+0+0+0+0+0+0+0+0+0+0+0+0+0+0+0+0+0+0+0+0+0+0+0+0+0+0+0+0+0+0+0+0+0+0+0+0+0+0+0+0+0+0)/1000</f>
        <v>0</v>
      </c>
    </row>
    <row r="16" spans="1:7" x14ac:dyDescent="0.2">
      <c r="A16" s="44" t="s">
        <v>514</v>
      </c>
      <c r="B16" s="43">
        <f>(33628+9857+37200+20277+229490+23292+17930+9857+9857+102439+61190+9857+9857+79034+36200+15088+15906+31211+44060+9857+28509+34310+72707+26519+29060+35300+9857+10015+13136+9857+45227+16431+148453+52478+9857+74458+25123+19869+76769+9857+28640+9857+37879+184124+14195+9857+37837+34073+15459+31588+9857+2574+3817+1584+57847+0+2252+10228+10279+0)/1000</f>
        <v>2055.826</v>
      </c>
      <c r="C16" s="43">
        <f>(0+0+0+0+0+0+0+0+0+0+0+0+0+0+0+0+0+0+0+0+0+0+0+0+0+0+0+0+0+0+0+0+0+0+0+0+0+0+0+0+0+0+0+0+0+0+0+0+0+0+0+0+0+0+0+0+0+0+0+0)/1000</f>
        <v>0</v>
      </c>
      <c r="D16" s="43">
        <f>(35796+10299+41710+22038+238130+24556+18210+10299+10299+110864+67424+10299+10299+78267+38397+15954+16354+32709+44344+10299+28720+32826+71901+26678+29924+36805+10299+10417+14943+10299+45226+17145+140907+58077+10299+75789+26998+20432+76705+10299+31834+10299+41669+204353+14738+10299+39112+33876+14937+31145+10299+2808+3885+1727+56168+0+2186+10606+10659+0)/1000</f>
        <v>2131.8359999999998</v>
      </c>
      <c r="E16" s="43">
        <f>SUM(C16:D16)</f>
        <v>2131.8359999999998</v>
      </c>
      <c r="F16" s="43">
        <f>(0+0+0+0+0+0+0+0+0+0+0+0+0+0+0+0+0+0+0+0+0+0+0+0+0+0+0+0+0+0+0+0+0+0+0+0+0+0+0+0+0+0+0+0+0+0+0+0+0+0+0+0+0+0+0+0+0+0+0+0)/1000</f>
        <v>0</v>
      </c>
    </row>
    <row r="17" spans="1:7" x14ac:dyDescent="0.2">
      <c r="A17" s="44" t="s">
        <v>28</v>
      </c>
      <c r="B17" s="43">
        <f>(0+0+0+0+0+0+0+0+0+0+0+0+0+0+0+0+0+0+0+0+0+0+0+0+0+0+0+0+0+0+0+0+0+0+0+0+0+0+0+0+0+0+0+0+0+0+0+0+0+0+0+0+0+0+0+0+0+0+0+0)/1000</f>
        <v>0</v>
      </c>
      <c r="C17" s="43">
        <f>(0+0+0+0+0+0+0+0+0+0+0+0+0+0+0+0+0+0+0+0+0+0+0+0+0+0+0+0+0+0+0+0+0+0+0+0+0+0+0+0+0+0+0+0+0+0+0+0+0+0+0+0+0+0+0+0+0+0+0+0)/1000</f>
        <v>0</v>
      </c>
      <c r="D17" s="43">
        <f>(0+0+0+0+0+0+0+0+0+0+0+0+0+0+0+0+0+0+0+0+0+0+0+0+0+0+0+0+0+0+0+0+0+0+0+0+0+0+0+0+0+0+0+0+0+0+0+0+0+0+0+0+0+0+0+0+0+0+0+0)/1000</f>
        <v>0</v>
      </c>
      <c r="E17" s="43">
        <f>SUM(C17:D17)</f>
        <v>0</v>
      </c>
      <c r="F17" s="43">
        <f>(316229+56903+405211+195664+2366306+182493+172221+65096+61789+1115543+664702+65001+68491+785402+313111+121225+130015+319247+409243+64783+306988+286323+585125+204024+250807+303381+61007+86079+169634+55389+431441+153357+1417885+563064+48583+697283+233401+174726+783344+66282+330403+61007+389537+1956280+96306+45525+327425+288564+118630+242471+48328+23790+25776+14380+465063+1000+12411+135373+24363+0)/1000</f>
        <v>19363.43</v>
      </c>
    </row>
    <row r="18" spans="1:7" x14ac:dyDescent="0.2">
      <c r="A18" s="12" t="s">
        <v>256</v>
      </c>
      <c r="B18" s="43"/>
      <c r="C18" s="43"/>
      <c r="D18" s="43"/>
      <c r="E18" s="43"/>
      <c r="F18" s="43"/>
      <c r="G18" s="12"/>
    </row>
    <row r="19" spans="1:7" x14ac:dyDescent="0.2">
      <c r="A19" s="44" t="s">
        <v>515</v>
      </c>
      <c r="B19" s="43">
        <f>(93007+44397+199407+56546+3635563+135608+265908+32184+92304+560484+329650+98578+30307+583126+206117+130558+101478+180689+163431+76847+228342+457855+772794+259569+86481+216336+37889+56627+43762+38394+402702+109920+2434869+300438+26313+725566+144793+165836+717125+94292+99638+21207+190892+484652+75356+47197+157763+379058+109813+312846+18429+0+3454+0+71326+0+2837+199879+0+0+0+0+0+0+0+0)/1000</f>
        <v>16510.438999999998</v>
      </c>
      <c r="C19" s="43">
        <f>(0+0+0+0+0+0+0+0+0+0+0+0+0+0+0+0+0+0+0+0+0+0+0+0+0+0+0+0+0+0+0+0+0+0+0+0+0+0+0+0+0+0+0+0+0+0+0+0+0+0+0+0+0+0+0+0+0+0+0+0+0+0+0+0+0+0)/1000</f>
        <v>0</v>
      </c>
      <c r="D19" s="43">
        <f>(93022+44405+199439+56555+3636140+135629+265950+32190+92319+560573+329703+98594+30312+583219+206149+130579+101494+180718+163457+76859+228378+457928+772917+259610+86495+216370+37895+56636+43769+38400+402765+109937+2435256+300485+26317+725681+144816+165862+717239+94307+99654+21211+190922+484729+75368+47204+157788+379118+109830+312896+18432+0+3454+0+71326+0+2837+198734+0+0+0+0+0+0+0+0)/1000</f>
        <v>16511.871999999999</v>
      </c>
      <c r="E19" s="43">
        <f t="shared" ref="E19:E28" si="0">SUM(C19:D19)</f>
        <v>16511.871999999999</v>
      </c>
      <c r="F19" s="43">
        <f>(83997+40096+180089+51068+3283363+122470+240147+29066+83362+506186+297715+89028+27371+526635+186149+117910+91647+163185+147598+69402+206221+413500+697928+234423+78103+195378+34218+51141+39523+34675+363690+99271+2198987+271332+23764+655275+130766+149770+647652+85157+89985+19153+172399+437701+68056+42626+142479+342336+99174+282538+16643+0+3119+0+64406+0+2562+179453+0+0+0+0+0+0+0+0)/1000</f>
        <v>14909.888000000001</v>
      </c>
    </row>
    <row r="20" spans="1:7" x14ac:dyDescent="0.2">
      <c r="A20" s="44" t="s">
        <v>516</v>
      </c>
      <c r="B20" s="43">
        <f>(53222+23146+46065+34816+687331+66383+58791+24745+19339+213525+86763+15601+21865+130513+75856+37201+30308+47089+58040+21712+117198+70836+190934+125002+41333+67624+11660+25778+54185+12939+191825+31199+304952+108928+12591+201029+38853+84162+214188+12452+78648+7579+93319+293712+27934+10689+67828+116681+25121+76520+7499+0+5328+0+23299+0+6490+52325+0+0+0+0+0+0+0+0)/1000</f>
        <v>4562.951</v>
      </c>
      <c r="C20" s="43">
        <f>(0+0+0+0+0+0+0+0+0+0+0+0+0+0+0+0+0+0+0+0+0+0+0+0+0+0+0+0+0+0+0+0+0+0+0+0+0+0+0+0+0+0+0+0+0+0+0+0+0+0+0+0+0+0+0+0+0+0+0+0+0+0+0+0+0+0)/1000</f>
        <v>0</v>
      </c>
      <c r="D20" s="43">
        <f>(53824+23408+46586+35210+695107+67134+59456+25024+19558+215941+87745+15777+22113+131989+76714+37622+30650+47621+58697+21958+118524+71637+193094+126416+41800+68389+11792+26070+54798+13085+193995+31552+308402+110161+12733+203303+39293+85114+216611+12592+79537+7665+94374+297034+28250+10810+68595+118001+25405+77386+7584+0+5389+0+23562+0+6564+52917+0+0+0+0+0+0+0+0)/1000</f>
        <v>4614.5680000000002</v>
      </c>
      <c r="E20" s="43">
        <f t="shared" si="0"/>
        <v>4614.5680000000002</v>
      </c>
      <c r="F20" s="43">
        <f>(53800+23397+46565+35194+694793+67104+59429+25013+19549+215843+87705+15770+22103+131930+76679+37605+30637+47600+58670+21948+118470+71605+193007+126358+41781+68358+11786+26058+54774+13079+193908+31538+308262+110111+12727+203212+39275+85076+216513+12587+79501+7661+94332+296900+28237+10806+68564+117948+25394+77351+7580+0+5386+0+23552+0+6561+52893+0+0+0+0+0+0+0+0)/1000</f>
        <v>4612.4849999999997</v>
      </c>
    </row>
    <row r="21" spans="1:7" x14ac:dyDescent="0.2">
      <c r="A21" s="44" t="s">
        <v>517</v>
      </c>
      <c r="B21" s="43">
        <f>(53887303+11063513+28240252+30562139+204369272+53821753+75327952+12959903+11194786+96785280+76535609+5012869+20507847+172297361+77016388+54587224+36484305+54749639+50914267+38361825+78998898+136352893+165357646+116357841+32218286+80257559+20861871+31643479+13895655+27292634+124095754+19923754+372460842+96714462+20871881+155039123+38178836+35866000+206608611+23694327+45509795+18822991+65675797+161043673+25319266+20456801+91332916+57933683+31110260+104738764+9942610+302083+662307+230037+16440232+0+626284+40671078+0+0+0+0+0+2987799+0+0+0)/1000</f>
        <v>3655176.2149999999</v>
      </c>
      <c r="C21" s="43">
        <f>(0+0+0+0+0+0+0+0+0+0+0+0+0+0+0+0+0+0+0+0+0+0+0+0+0+0+0+0+0+0+0+0+0+0+0+0+0+0+0+0+0+0+0+0+0+0+0+0+0+0+0+0+0+0+0+0+0+0+0+0+0+0+0+0+0+0+0)/1000</f>
        <v>0</v>
      </c>
      <c r="D21" s="43">
        <f>(61142676+11305117+28592387+33108910+205301307+61658279+73032152+13368391+11439253+97992371+77490150+4943018+20955690+173899852+78019664+55298302+38176258+56579812+55804633+38861542+80013115+132190429+162672842+117873568+36614355+83198518+21317443+32334724+14068959+27888638+121729563+21746827+377312676+103021488+21327671+156594877+43890527+38364219+202960781+24211731+49004387+19234040+72424215+163052186+25872176+20903527+95393440+65779693+31789631+106103137+10005183+308683+676778+235064+16799446+0+639967+42791732+0+0+0+0+0+2988000+0+0+0)/1000</f>
        <v>3740304</v>
      </c>
      <c r="E21" s="43">
        <f t="shared" si="0"/>
        <v>3740304</v>
      </c>
      <c r="F21" s="43">
        <f>(0+0+0+0+0+0+0+0+0+0+0+0+0+0+0+0+0+0+0+0+0+0+0+0+0+0+0+0+0+0+0+0+0+0+0+0+0+0+0+0+0+0+0+0+0+0+0+0+0+0+0+0+0+0+0+0+0+0+0+0+0+0+0+0+0+0+0)/1000</f>
        <v>0</v>
      </c>
    </row>
    <row r="22" spans="1:7" x14ac:dyDescent="0.2">
      <c r="A22" s="44" t="s">
        <v>518</v>
      </c>
      <c r="B22" s="43">
        <f>(94448+9433+128573+60313+507250+61928+33477+14002+8422+315201+210368+17564+30288+172072+113269+45690+45698+97190+97535+15940+66006+65758+143667+69171+69095+96016+14643+28972+46783+10208+91464+43417+226910+170974+8960+169774+74090+56356+152413+11898+92032+13062+118368+544601+58268+6442+99946+84929+33073+74398+6259+6789+9783+4673+48727+0+5135+305974+0+0+0+0+25899+1473+26377+0)/1000</f>
        <v>5261.4440000000004</v>
      </c>
      <c r="C22" s="43">
        <f t="shared" ref="C22:C27" si="1">(0+0+0+0+0+0+0+0+0+0+0+0+0+0+0+0+0+0+0+0+0+0+0+0+0+0+0+0+0+0+0+0+0+0+0+0+0+0+0+0+0+0+0+0+0+0+0+0+0+0+0+0+0+0+0+0+0+0+0+0+0+0+0+0+0+0)/1000</f>
        <v>0</v>
      </c>
      <c r="D22" s="43">
        <f>(103937+10383+140817+66344+560532+67936+37609+15613+9601+357788+231276+19185+33078+189483+126122+51041+49237+108392+108136+17527+73319+73122+161447+77038+75414+106474+16183+32125+52685+11200+100898+47111+261832+189028+9661+187915+80014+61756+170245+13066+101832+14434+131824+594694+64668+7057+113285+93857+37061+82629+6666+7417+10688+5416+49537+0+5610+334995+0+0+0+0+29130+1500+29130+0)/1000</f>
        <v>5826</v>
      </c>
      <c r="E22" s="43">
        <f t="shared" si="0"/>
        <v>5826</v>
      </c>
      <c r="F22" s="43">
        <f>(103937+10383+140817+66344+560532+67936+37609+15613+9601+357788+231276+19185+33078+189483+126122+51041+49237+108392+108136+17527+73319+73122+161447+77038+75414+106474+16183+32125+52685+11200+100898+47111+261832+189028+9661+187915+80014+61756+170245+13066+101832+14434+131824+594694+64668+7057+113285+93857+37061+82629+6666+7417+10688+5416+49537+0+5610+334995+0+0+0+0+29130+1500+29130+0)/1000</f>
        <v>5826</v>
      </c>
    </row>
    <row r="23" spans="1:7" x14ac:dyDescent="0.2">
      <c r="A23" s="44" t="s">
        <v>519</v>
      </c>
      <c r="B23" s="43">
        <f>(16442+3545+19827+5300+85593+10174+18738+5179+4567+43027+36548+4972+2867+56874+26182+8508+9812+16702+13864+3019+23301+44973+32082+23367+6293+24668+3191+10595+2580+4582+26374+8308+101984+69639+2506+70125+24910+19409+55337+6634+9867+1711+37702+59844+12592+3945+21329+41883+8727+24511+2815+0+0+0+0+0+0+58340+0+0+0+0+14567+0+14575+0)/1000</f>
        <v>1265.0060000000001</v>
      </c>
      <c r="C23" s="43">
        <f t="shared" si="1"/>
        <v>0</v>
      </c>
      <c r="D23" s="43">
        <f>(16442+3545+19827+5300+85593+10174+18738+5179+4567+43026+36548+4972+2868+56874+26182+8508+9812+16702+13865+3019+23301+44973+32082+23368+6293+24669+3191+10595+2580+4582+26374+8307+101984+69639+2506+70125+24910+19409+55337+6634+9867+1711+37702+59844+12591+3945+21329+41883+8727+24511+2815+0+0+0+0+0+0+58340+0+0+0+0+14585+0+14585+0)/1000</f>
        <v>1265.0350000000001</v>
      </c>
      <c r="E23" s="43">
        <f t="shared" si="0"/>
        <v>1265.0350000000001</v>
      </c>
      <c r="F23" s="43">
        <f>(16442+3545+19827+5300+85593+10174+18738+5179+4567+43026+36548+4972+2868+56874+26182+8508+9812+16702+13865+3019+23301+44973+32082+23368+6293+24669+3191+10595+2580+4582+26374+8307+101984+69639+2506+70125+24910+19409+55337+6634+9867+1711+37702+59844+12591+3945+21329+41883+8727+24511+2815+0+0+0+0+0+0+64240+0+0+0+0+16060+0+16060+0)/1000</f>
        <v>1273.885</v>
      </c>
    </row>
    <row r="24" spans="1:7" x14ac:dyDescent="0.2">
      <c r="A24" s="44" t="s">
        <v>520</v>
      </c>
      <c r="B24" s="43">
        <f>(24444+4266+37907+16414+211088+29271+16064+4730+3185+97282+56032+7088+9942+66576+36281+17045+16088+22708+25181+5541+31301+31129+47957+30319+16511+32075+5370+10829+16015+5593+45317+11304+96441+53065+4278+59865+21755+20310+61129+4710+24803+5128+33794+172123+21792+2642+42033+38171+8515+29460+3227+0+0+0+0+0+0+0+0+0+0+0+0+0+0+0)/1000</f>
        <v>1694.0940000000001</v>
      </c>
      <c r="C24" s="43">
        <f t="shared" si="1"/>
        <v>0</v>
      </c>
      <c r="D24" s="43">
        <f>(23836+4160+36964+16006+205839+28543+15664+4613+3106+94863+54638+6912+9695+64920+35378+16621+15687+22143+24555+5403+30523+30355+46764+29565+16100+31277+5237+10559+15617+5453+44190+11023+94043+51746+4172+58377+21213+19805+59609+4593+24186+5000+32954+167843+21250+2577+40988+37222+8303+28728+3147+0+0+0+0+0+0+0+0+0+0+0+0+0+0+0)/1000</f>
        <v>1651.9649999999999</v>
      </c>
      <c r="E24" s="43">
        <f t="shared" si="0"/>
        <v>1651.9649999999999</v>
      </c>
      <c r="F24" s="43">
        <f>(27965+4880+43367+18778+241494+33487+18378+5412+3644+111295+64102+8109+11374+76166+41507+19501+18405+25979+28808+6339+35810+35613+54865+34686+18889+36695+6144+12389+18322+6398+51845+12932+110333+60709+4894+68489+24888+23235+69934+5388+28375+5866+38662+196916+24931+3023+48088+43669+9742+33704+3691+0+0+0+0+0+0+0+0+0+0+0+0+0+0+0)/1000</f>
        <v>1938.115</v>
      </c>
    </row>
    <row r="25" spans="1:7" x14ac:dyDescent="0.2">
      <c r="A25" s="44" t="s">
        <v>521</v>
      </c>
      <c r="B25" s="43">
        <f>(146610+20243+173970+102417+1265360+112877+69178+20777+36771+416038+243412+29519+41710+386044+152942+79246+78908+182664+197651+43450+116690+154250+360604+127809+210014+180326+36776+59018+41019+20472+178713+73767+592047+226397+24074+368200+129917+107057+343775+33775+125026+27810+178918+675897+76789+24996+141691+173889+72413+151144+21439+4072+3838+3425+309915+0+10321+320491+0+458775+0+1759+238392+25000+100953+0)/1000</f>
        <v>10331.44</v>
      </c>
      <c r="C25" s="43">
        <f t="shared" si="1"/>
        <v>0</v>
      </c>
      <c r="D25" s="43">
        <f>(153337+19692+172030+106614+1300718+116142+72438+21354+38535+433780+254575+30958+39507+399893+154972+79868+79700+178920+205290+43191+116792+158730+364348+123202+219677+184226+36862+59502+41656+20776+187392+75392+617946+233964+24705+376747+135464+104575+351890+34031+128397+28127+180745+701872+73243+23612+147617+171426+73924+149965+20851+4145+3645+3588+323534+0+10827+310472+0+454312+0+1845+247679+125000+117022+0)/1000</f>
        <v>10671.239</v>
      </c>
      <c r="E25" s="43">
        <f t="shared" si="0"/>
        <v>10671.239</v>
      </c>
      <c r="F25" s="43">
        <f>(152671+19549+171117+105367+1294690+115467+72157+21189+38056+429769+253300+30865+39355+397990+154232+79542+79550+178281+204311+43021+116509+158108+362479+122668+219148+183417+36546+59115+41112+20723+186399+75160+615451+231909+24643+375301+134172+104032+350083+33902+127692+28066+179982+698547+72955+23461+147018+170668+73713+149175+20791+4145+3645+3524+322844+0+10827+308960+0+452508+0+1845+247679+125000+108694+0)/1000</f>
        <v>10613.094999999999</v>
      </c>
    </row>
    <row r="26" spans="1:7" x14ac:dyDescent="0.2">
      <c r="A26" s="44" t="s">
        <v>522</v>
      </c>
      <c r="B26" s="43">
        <f>(37071+24481+182470+52005+1446179+88073+78561+2479+39217+217837+91881+30035+19820+178752+103632+20369+28176+54636+50205+23668+71558+139715+111884+54858+35419+61701+12784+20103+54133+15534+121068+19366+369648+111976+13923+182910+69887+97734+168600+12229+42269+7392+61197+217839+28383+11582+65434+93879+54514+70448+4106+0+0+0+21171+0+0+8886+0+0+0+0+31949+0+0+0)/1000</f>
        <v>5233.6260000000002</v>
      </c>
      <c r="C26" s="43">
        <f t="shared" si="1"/>
        <v>0</v>
      </c>
      <c r="D26" s="43">
        <f>(39433+26041+194096+55318+1538322+93684+83567+2637+41715+231717+97735+31948+21083+190141+110235+21666+29972+58117+53404+25176+76118+148616+119013+58354+37676+65632+13599+21384+57582+16524+128782+20600+393200+119111+14810+194564+74340+103961+179342+13008+44962+7863+65097+231718+30191+12320+69603+99861+57988+74936+4367+0+0+0+22520+0+0+7753+0+0+0+0+38000+0+0+0)/1000</f>
        <v>5569.402</v>
      </c>
      <c r="E26" s="43">
        <f t="shared" si="0"/>
        <v>5569.402</v>
      </c>
      <c r="F26" s="43">
        <f>(41126+27159+202429+57693+1604364+97706+87155+2750+43506+241665+101931+33320+21988+198304+114967+22596+31258+60612+55697+26257+79385+154997+124122+60859+39294+68449+14182+22302+60054+17234+134311+21484+410081+124225+15446+202917+77531+108424+187042+13567+46892+8201+67891+241666+31487+12849+72591+104148+60477+78153+4555+0+0+0+23487+0+0+7848+0+0+0+0+46000+0+0+0)/1000</f>
        <v>5814.634</v>
      </c>
    </row>
    <row r="27" spans="1:7" x14ac:dyDescent="0.2">
      <c r="A27" s="44" t="s">
        <v>523</v>
      </c>
      <c r="B27" s="43">
        <f>(27701+25092+160033+28250+646764+17510+44937+2262+10054+130077+51330+16171+8945+79217+61930+41968+20103+64476+21753+20450+20186+33124+111857+37545+16153+40495+10011+20286+38970+3590+83591+22703+126615+64880+7994+164030+83442+39564+100421+8651+23973+5552+60794+150227+11750+10398+63078+57463+45804+48245+1051+0+0+0+1431+0+0+282+0+0+0+0+0+0+0+0)/1000</f>
        <v>2993.1790000000001</v>
      </c>
      <c r="C27" s="43">
        <f t="shared" si="1"/>
        <v>0</v>
      </c>
      <c r="D27" s="43">
        <f>(31750+28759+183423+32379+741292+20069+51505+2592+11524+149088+58832+18535+10253+90794+70981+48102+23041+73899+24933+23438+23136+37965+128205+43033+18514+46413+11474+23251+44666+4115+95808+26021+145120+74362+9162+188003+95638+45346+115098+9916+27477+6364+69680+172184+13467+11918+72297+65861+52499+55296+1205+0+0+0+1640+0+0+160+0+0+0+0+0+0+0+0)/1000</f>
        <v>3430.4830000000002</v>
      </c>
      <c r="E27" s="43">
        <f t="shared" si="0"/>
        <v>3430.4830000000002</v>
      </c>
      <c r="F27" s="43">
        <f>(35309+31983+203986+36009+824396+22319+57279+2883+12816+165802+65428+20613+11402+100973+78939+53495+25624+82184+27728+26066+25730+42222+142577+47857+20589+51616+12761+25857+49673+4576+106548+28938+161389+82699+10190+209080+106359+50430+128001+11027+30557+7077+77491+191487+14977+13254+80402+73245+58384+61495+1340+0+0+0+1824+0+0+160+0+0+0+0+0+0+0+0)/1000</f>
        <v>3815.0459999999998</v>
      </c>
    </row>
    <row r="28" spans="1:7" x14ac:dyDescent="0.2">
      <c r="A28" s="44" t="s">
        <v>524</v>
      </c>
      <c r="B28" s="43">
        <f>(23731608+3601526+34157132+14625656+192475303+27297168+17468267+4682984+3378447+102157832+50773086+6949648+8358551+62323770+32455904+15314187+14181884+21684216+22804622+6503563+29463663+33395486+48499271+27148452+14527420+29762356+5114088+9347458+14595279+6537095+43841952+10165299+96632335+50013830+3677460+56757316+19136527+20168172+62340876+5158614+24460011+4233772+32695258+137794559+15100576+3036134+41234387+36053194+8840091+28214006+2820264+56656+274931+54986+8247931+0+274931+0+0+0+0+0+0+0+0+0+0)/1000</f>
        <v>1594599.99</v>
      </c>
      <c r="C28" s="43">
        <f>(0+0+0+0+0+0+0+0+0+0+0+0+0+0+0+0+0+0+0+0+0+0+0+0+0+0+0+0+0+0+0+0+0+0+0+0+0+0+0+0+0+0+0+0+0+0+0+0+0+0+0+0+0+0+0+0+0+0+0+0+0+0+0+0+0+0+0)/1000</f>
        <v>0</v>
      </c>
      <c r="D28" s="43">
        <f>(23807510+3613044+34266377+14672434+193090896+27384473+17524135+4697961+3389252+102484563+50935473+6971875+8385284+62523100+32559708+15363166+14227242+21753570+22877558+6524363+29557896+33502295+48654386+27235281+14573883+29857544+5130445+9377354+14641959+6558003+43982172+10197811+96941394+50173789+3689223+56938842+19197732+20232677+62540261+5175113+24538241+4247314+32799827+138235267+15148872+3045844+41366267+36168503+8868365+28304242+2829285+56837+275810+55162+8274310+0+275810+0+0+0+0+0+0+0+0+0+0)/1000</f>
        <v>1599700</v>
      </c>
      <c r="E28" s="43">
        <f t="shared" si="0"/>
        <v>1599700</v>
      </c>
      <c r="F28" s="43">
        <f>(0+0+0+0+0+0+0+0+0+0+0+0+0+0+0+0+0+0+0+0+0+0+0+0+0+0+0+0+0+0+0+0+0+0+0+0+0+0+0+0+0+0+0+0+0+0+0+0+0+0+0+0+0+0+0+0+0+0+0+0+0+0+0+0+0+0+0)/1000</f>
        <v>0</v>
      </c>
    </row>
    <row r="29" spans="1:7" x14ac:dyDescent="0.2">
      <c r="A29" s="12" t="s">
        <v>283</v>
      </c>
      <c r="B29" s="43"/>
      <c r="C29" s="43"/>
      <c r="D29" s="43"/>
      <c r="E29" s="43"/>
      <c r="F29" s="43"/>
      <c r="G29" s="12"/>
    </row>
    <row r="30" spans="1:7" x14ac:dyDescent="0.2">
      <c r="A30" s="44" t="s">
        <v>525</v>
      </c>
      <c r="B30" s="43">
        <f>(396288+30418+251666+167790+3038425+298414+101405+37871+49217+793192+444313+63149+78353+392710+261535+130026+119145+218000+373254+37049+316638+724570+273742+129392+257202+278965+91428+87084+78194+44854+519667+101350+1473123+500692+26680+520821+233625+370148+668188+92975+184648+31233+234625+1510172+135050+28251+378406+236313+77391+272798+13382+4832+32227+11196+182575+0+10948+0+0+0)/1000</f>
        <v>17415.605</v>
      </c>
      <c r="C30" s="43">
        <f>(0+0+0+0+0+0+0+0+0+0+0+0+0+0+0+0+0+0+0+0+0+0+0+0+0+0+0+0+0+0+0+0+0+0+0+0+0+0+0+0+0+0+0+0+0+0+0+0+0+0+0+0+0+0+0+0+0+0+0+0)/1000</f>
        <v>0</v>
      </c>
      <c r="D30" s="43">
        <f>(434621+32126+266358+177209+3208988+315358+107097+40021+52802+842520+469255+66694+83343+414755+276216+146382+125833+230237+394207+39129+334413+765244+289108+137017+271641+294625+96605+92167+83404+47372+548839+107040+1555817+528799+28532+550058+246739+511303+705698+98195+335678+33213+247943+1601525+143321+29836+410270+251250+81736+288112+14133+5103+34036+11825+192824+0+11562+0+0+0)/1000</f>
        <v>18708.133999999998</v>
      </c>
      <c r="E30" s="43">
        <f>SUM(C30:D30)</f>
        <v>18708.133999999998</v>
      </c>
      <c r="F30" s="43">
        <f>(449678+38042+259226+204765+3283458+321772+83957+38836+82631+854727+429237+51059+99948+358125+243120+147231+150835+232613+425460+33334+334671+709071+295751+125587+261682+291894+108673+81441+73884+52758+542976+101529+1497405+639568+27060+482911+243805+475312+675623+83951+195538+29712+202244+1397160+113796+25453+376176+309804+80315+232075+11642+5389+35947+12489+93276+0+15705+0+0+0)/1000</f>
        <v>18030.327000000001</v>
      </c>
    </row>
    <row r="31" spans="1:7" x14ac:dyDescent="0.2">
      <c r="A31" s="44" t="s">
        <v>526</v>
      </c>
      <c r="B31" s="43">
        <f>(4374830+1627974+10318779+5502868+56720417+5521554+5058411+1528039+2273815+15301471+7725952+1466754+1604141+11498126+9240467+3541669+2189481+8175973+8697690+1988688+7407719+10386402+13476324+7701626+4330970+7188633+1506199+1217420+3083534+1198947+9953431+4303472+42373210+9699171+779781+16630159+3195905+7245419+19266813+1678591+4747256+581879+7168469+24254323+2022162+1079258+2776475+6517016+3225046+5701464+364945+37706+111385+49801+2645565+0+123625+0+55116767+277472+270750+4160865+0)/1000</f>
        <v>458213.054</v>
      </c>
      <c r="C31" s="43">
        <f>(0+0+0+0+0+0+0+0+0+0+0+0+0+0+0+0+0+0+0+0+0+0+0+0+0+0+0+0+0+0+0+0+0+0+0+0+0+0+0+0+0+0+0+0+0+0+0+0+0+0+0+0+0+0+0+0+0+0+0+0+0+0+0)/1000</f>
        <v>0</v>
      </c>
      <c r="D31" s="43">
        <f>(4798073+1775359+10727829+5616522+63728887+5796624+5296308+1641294+2325170+16799910+7961297+1426259+2011388+12152340+11367527+4064129+2540713+9569819+9607932+2402792+7391491+11586231+14205599+8683394+4535154+7459768+1570847+1382149+3201992+1285310+10324962+5234838+47759237+10511204+850163+18138259+3562491+8011013+21162686+1502030+4814339+649467+8312257+26384397+2245857+1109055+9554161+9069170+3377342+5939841+389711+84000+127000+60000+2623188+0+126000+0+25313771+286750+290000+4417691+0)/1000</f>
        <v>475142.98700000002</v>
      </c>
      <c r="E31" s="43">
        <f>SUM(C31:D31)</f>
        <v>475142.98700000002</v>
      </c>
      <c r="F31" s="43">
        <f>(5063654+1858131+11535020+5836993+62481378+5809471+5259989+1710698+2480719+17486983+8118467+1367397+2102862+12186178+10651426+3916162+3275466+9836286+9991889+2421340+7478728+11633981+14731321+8841522+4755553+7595079+1636887+1798757+3094560+1316099+10681302+5410986+48585670+10506386+873554+19162496+3853418+8343426+21220959+1555711+4752604+682143+8776314+27538034+2282131+1075070+10295895+9069170+3551649+6078338+397064+84000+127000+60000+2719072+0+126000+0+30007648+297000+299000+4951369+0)/1000</f>
        <v>489636.40500000003</v>
      </c>
    </row>
    <row r="32" spans="1:7" x14ac:dyDescent="0.2">
      <c r="A32" s="12" t="s">
        <v>291</v>
      </c>
      <c r="B32" s="43"/>
      <c r="C32" s="43"/>
      <c r="D32" s="43"/>
      <c r="E32" s="43"/>
      <c r="F32" s="43"/>
      <c r="G32" s="12"/>
    </row>
    <row r="33" spans="1:7" x14ac:dyDescent="0.2">
      <c r="A33" s="44" t="s">
        <v>527</v>
      </c>
      <c r="B33" s="43">
        <f>(21060+1240+19670+8034+156380+13174+11282+5221+14150+136692+73135+3723+6703+45700+17190+11919+7186+9913+24049+2550+40173+23877+18702+10792+18822+13678+1259+2887+9249+1101+41566+4260+146883+41396+875+24865+8586+4116+39127+5291+30530+2019+18568+109459+6433+1234+25588+17428+5036+10674+750+51+288+64+42293+50+720+0+0+51+57+0)/1000</f>
        <v>1317.769</v>
      </c>
      <c r="C33" s="43">
        <f>(0+0+0+0+0+0+0+0+0+0+0+0+0+0+0+0+0+0+0+0+0+0+0+0+0+0+0+0+0+0+0+0+0+0+0+0+0+0+0+0+0+0+0+0+0+0+0+0+0+0+0+0+0+0+0+0+0+0+0+0+0+0)/1000</f>
        <v>0</v>
      </c>
      <c r="D33" s="43">
        <f>(0+0+0+0+0+0+0+0+0+0+0+0+0+0+0+0+0+0+0+0+0+0+0+0+0+0+0+0+0+0+0+0+0+0+0+0+0+0+0+0+0+0+0+0+0+0+0+0+0+0+0+0+0+0+0+0+0+0+0+0+0+0)/1000</f>
        <v>0</v>
      </c>
      <c r="E33" s="43">
        <f>SUM(C33:D33)</f>
        <v>0</v>
      </c>
      <c r="F33" s="43">
        <f>(0+0+0+0+0+0+0+0+0+0+0+0+0+0+0+0+0+0+0+0+0+0+0+0+0+0+0+0+0+0+0+0+0+0+0+0+0+0+0+0+0+0+0+0+0+0+0+0+0+0+0+0+0+0+0+0+0+0+0+0+0+0)/1000</f>
        <v>0</v>
      </c>
    </row>
    <row r="34" spans="1:7" x14ac:dyDescent="0.2">
      <c r="A34" s="12" t="s">
        <v>298</v>
      </c>
      <c r="B34" s="43"/>
      <c r="C34" s="43"/>
      <c r="D34" s="43"/>
      <c r="E34" s="43"/>
      <c r="F34" s="43"/>
      <c r="G34" s="12"/>
    </row>
    <row r="35" spans="1:7" x14ac:dyDescent="0.2">
      <c r="A35" s="44" t="s">
        <v>528</v>
      </c>
      <c r="B35" s="43">
        <f>(34645+10542+46880+12248+330508+19904+18474+9423+75255+107894+37540+14164+11678+143900+35709+14286+10526+17367+17413+12781+54465+68616+43078+27714+16596+27746+11862+10730+17925+10970+85644+13694+393676+44450+9848+54325+17929+29716+80255+17302+25203+9025+28078+174605+12131+10004+47440+56728+12672+17896+8535+2007+2308+1908+11722+100+4818+0+0+0)/1000</f>
        <v>2442.8580000000002</v>
      </c>
      <c r="C35" s="43">
        <f>(0+0+0+0+0+0+0+0+0+0+0+0+0+0+0+0+0+0+0+0+0+0+0+0+0+0+0+0+0+0+0+0+0+0+0+0+0+0+0+0+0+0+0+0+0+0+0+0+0+0+0+0+0+0+0+0+0+0+741000+0)/1000</f>
        <v>741</v>
      </c>
      <c r="D35" s="43">
        <f>(0+0+0+0+0+0+0+0+0+0+0+0+0+0+0+0+0+0+0+0+0+0+0+0+0+0+0+0+0+0+0+0+0+0+0+0+0+0+0+0+0+0+0+0+0+0+0+0+0+0+0+0+0+0+0+0+0+0+1770000+0)/1000</f>
        <v>1770</v>
      </c>
      <c r="E35" s="43">
        <f>SUM(C35:D35)</f>
        <v>2511</v>
      </c>
      <c r="F35" s="43">
        <f>(0+0+0+0+0+0+0+0+0+0+0+0+0+0+0+0+0+0+0+0+0+0+0+0+0+0+0+0+0+0+0+0+0+0+0+0+0+0+0+0+0+0+0+0+0+0+0+0+0+0+0+0+0+0+0+0+0+0+1861451+0)/1000</f>
        <v>1861.451</v>
      </c>
    </row>
    <row r="36" spans="1:7" x14ac:dyDescent="0.2">
      <c r="A36" s="12" t="s">
        <v>370</v>
      </c>
      <c r="B36" s="43"/>
      <c r="C36" s="43"/>
      <c r="D36" s="43"/>
      <c r="E36" s="43"/>
      <c r="F36" s="43"/>
      <c r="G36" s="12"/>
    </row>
    <row r="37" spans="1:7" x14ac:dyDescent="0.2">
      <c r="A37" s="44" t="s">
        <v>529</v>
      </c>
      <c r="B37" s="43">
        <f>(48408+4744+45490+24195+435455+50509+48759+7079+15223+145985+76928+21227+13083+281342+72697+35770+28684+44321+53376+17715+80045+97395+167469+52899+29314+69920+14606+13331+20291+13323+100945+18502+507255+134107+5523+159154+27239+35616+231611+12072+36181+7242+50240+273805+23072+7703+60841+67656+20242+38173+3465+942+3096+967+54134+0+1984+0+0+0)/1000</f>
        <v>3911.35</v>
      </c>
      <c r="C37" s="43">
        <f>(2489+7511+24363+816+63692+651+0+5766+735+55652+3122+0+1835+69581+32072+18705+557+0+36538+9530+0+23259+9528+0+5679+0+0+4890+1490+0+38202+337+20481+22329+0+27696+0+0+3912+0+0+335+0+22613+702+0+8591+4799+0+6303+0+3110+964+0+6267+0+1983+0+0+0)/1000</f>
        <v>547.08500000000004</v>
      </c>
      <c r="D37" s="43">
        <f>(42721+1939+37322+25827+351468+37677+41382+4121+14873+113604+83079+13585+11366+135024+47904+25314+26205+44632+30225+11945+52859+83923+119091+53667+24868+65044+8780+13620+21563+12819+66723+18466+317286+69191+5680+132606+28612+36226+189772+16915+38920+7209+51954+227742+21211+8061+51693+55190+21451+54801+3968+217+2383+961+51666+0+991+0+0+0)/1000</f>
        <v>3036.3420000000001</v>
      </c>
      <c r="E37" s="43">
        <f>SUM(C37:D37)</f>
        <v>3583.4270000000001</v>
      </c>
      <c r="F37" s="43">
        <f>(2197+3071+19989+871+51407+486+0+3357+718+43308+3372+0+1594+33394+21134+13238+509+0+20690+6426+0+20042+6776+0+4818+0+0+4996+1583+0+25251+337+12811+11520+0+23077+0+0+3206+0+0+334+0+18809+646+0+7299+3914+0+9049+0+715+742+0+5981+0+991+0+0+0)/1000</f>
        <v>388.65800000000002</v>
      </c>
    </row>
    <row r="38" spans="1:7" x14ac:dyDescent="0.2">
      <c r="A38" s="44" t="s">
        <v>530</v>
      </c>
      <c r="B38" s="43">
        <f>(0+0+0+0+124155+0+0+0+0+157676+37943+3975+0+0+0+0+0+0+0+0+0+0+0+0+0+58535+0+0+0+0+0+0+0+0+0+0+0+0+0+0+0+0+0+652175+0+0+0+0+0+0+0+0+0+0+0+0+0+0+0+0)/1000</f>
        <v>1034.4590000000001</v>
      </c>
      <c r="C38" s="43">
        <f>(0+35856+0+8940+1143675+0+0+0+0+1407675+81813+93017+0+0+0+96741+0+0+1213917+0+0+0+0+0+0+82215+0+108938+0+0+0+0+0+710711+0+12305+36353+0+0+0+229665+0+0+4668739+0+0+0+0+0+15355+0+23039+0+243946+1700000+0+832805+0+272072+0)/1000</f>
        <v>13017.777</v>
      </c>
      <c r="D38" s="43">
        <f>(0+0+0+0+0+0+0+0+0+0+0+0+0+0+0+0+0+0+0+0+0+0+0+0+0+0+0+0+0+0+0+0+0+0+0+0+0+0+0+0+0+0+0+0+0+0+0+0+0+0+0+0+0+0+0+0+0+0+0+0)/1000</f>
        <v>0</v>
      </c>
      <c r="E38" s="43">
        <f>SUM(C38:D38)</f>
        <v>13017.777</v>
      </c>
      <c r="F38" s="43">
        <f>(0+0+0+0+0+0+0+0+0+0+0+0+0+0+0+0+0+0+0+0+0+0+0+0+0+0+0+0+0+0+0+0+0+0+0+0+0+0+0+0+55634+0+0+0+0+0+0+0+106494+0+0+0+0+0+15000000+0+841841+0+0+0)/1000</f>
        <v>16003.968999999999</v>
      </c>
    </row>
    <row r="39" spans="1:7" x14ac:dyDescent="0.2">
      <c r="A39" s="12" t="s">
        <v>374</v>
      </c>
      <c r="B39" s="43"/>
      <c r="C39" s="43"/>
      <c r="D39" s="43"/>
      <c r="E39" s="43"/>
      <c r="F39" s="43"/>
      <c r="G39" s="12"/>
    </row>
    <row r="40" spans="1:7" x14ac:dyDescent="0.2">
      <c r="A40" s="44" t="s">
        <v>531</v>
      </c>
      <c r="B40" s="43">
        <f>(218401+44466+190725+117158+4345675+315502+447982+44245+237478+1060588+542274+140616+41837+1030284+239526+107955+73203+222453+378527+94924+650651+1244315+391849+261666+173011+271724+37111+76001+144515+96412+829900+85321+2745691+415730+41810+610747+145298+295702+676813+88239+178234+33403+254293+1241178+84623+62316+454856+641386+80993+170477+15766+0+28837+2815+199606+0+14998+0+0+0)/1000</f>
        <v>22640.106</v>
      </c>
      <c r="C40" s="43">
        <f>(5586+1164+4888+3026+111665+8088+11521+1164+6110+27232+13907+3608+1047+26476+6168+2793+1862+5703+9718+2444+16700+32004+10067+6750+4422+6983+931+1978+3724+2502+21355+2211+70583+10707+1047+15711+3724+7623+17399+2269+4597+874+6517+31888+2153+1629+11696+16468+2095+4364+407+0+756+59+5121+0+407+0+276474+0)/1000</f>
        <v>858.36500000000001</v>
      </c>
      <c r="D40" s="43">
        <f>(226637+47216+198308+122762+4530385+328152+467439+47216+247885+1104857+564232+146370+42494+1074166+250245+113319+75546+231359+394254+99154+677551+1298443+408419+273853+179421+283297+37773+80267+151092+101515+866415+89711+2863656+434388+42494+637417+151092+309265+705881+92071+186504+35412+264410+1293721+87350+66103+474522+668108+84989+177060+16526+0+30690+2361+207751+0+16526+0+318491+0)/1000</f>
        <v>23926.541000000001</v>
      </c>
      <c r="E40" s="43">
        <f>SUM(C40:D40)</f>
        <v>24784.906000000003</v>
      </c>
      <c r="F40" s="43">
        <f>(222204+46293+194429+120361+4441775+321734+458297+46293+243036+1083247+553197+143507+41663+1053157+245351+111102+74068+226834+386543+97214+664299+1273047+400431+268497+175912+277756+37034+78697+148136+99529+849469+87956+2807646+425892+41663+624950+148136+303217+692074+90271+182856+34719+259239+1268417+85641+64810+465241+655040+83327+173597+16202+0+30090+2315+203687+0+16202+0+263525+0)/1000</f>
        <v>23409.825000000001</v>
      </c>
    </row>
    <row r="41" spans="1:7" x14ac:dyDescent="0.2">
      <c r="A41" s="44" t="s">
        <v>532</v>
      </c>
      <c r="B41" s="43">
        <f>(143280+9491+21937+34998+120026+31485+77274+13321+68433+134757+123916+28752+1440+270040+45583+8308+25592+69439+63964+16955+97329+191529+77601+57476+28436+50801+6548+17303+16443+13004+168730+13944+1176715+117258+4266+216637+47281+20704+373968+42252+55006+3465+89145+164490+4382+4021+80115+64735+21164+18745+2203+0+5247+0+289901+0+24326+0+0+0)/1000</f>
        <v>4874.1610000000001</v>
      </c>
      <c r="C41" s="43">
        <f>(2316+153+355+566+1940+509+1249+215+1106+2179+2003+465+23+4366+737+134+414+1123+1034+274+1574+3096+1255+929+460+821+106+280+266+210+2728+225+19024+1896+69+3502+764+335+6046+683+889+56+1441+2659+71+65+1295+1047+342+303+36+0+85+0+4687+0+393+0+3000+0)/1000</f>
        <v>81.799000000000007</v>
      </c>
      <c r="D41" s="43">
        <f>(131888+8736+20193+32215+110483+28982+71130+12262+62992+124043+114063+26466+1325+248569+41958+7648+23557+63917+58878+15607+89591+176301+71430+52906+26175+46762+6027+15927+15135+11970+155314+12835+1083153+107935+3927+199412+43521+19058+344233+38893+50632+3189+82057+151411+4033+3701+73745+59588+19481+17254+2028+0+4830+0+266851+0+22392+0+0+0)/1000</f>
        <v>4486.6090000000004</v>
      </c>
      <c r="E41" s="43">
        <f>SUM(C41:D41)</f>
        <v>4568.4080000000004</v>
      </c>
      <c r="F41" s="43">
        <f>(120259+7966+18413+29374+100741+26426+64858+11181+57437+113105+104006+24132+1209+226651+38259+6973+21480+58281+53687+14231+81691+160755+65132+48241+23867+42639+5496+14523+13801+10915+141619+11704+987645+98418+3580+181829+39684+17378+313880+35463+46167+2908+74821+138060+3678+3375+67242+54334+17763+15733+1849+0+4404+0+243321+0+20416+0+0+0)/1000</f>
        <v>4091</v>
      </c>
    </row>
    <row r="42" spans="1:7" x14ac:dyDescent="0.2">
      <c r="A42" s="44" t="s">
        <v>533</v>
      </c>
      <c r="B42" s="43">
        <f>(83331+3021+10433+23940+92643+17014+36539+6593+20751+70369+88299+13681+1573+138498+32419+7701+18165+51515+56123+9051+33532+85369+49165+46606+21431+39636+4436+14796+6361+10558+88748+10149+637979+65692+3364+107602+26036+10540+165836+22609+31693+2739+61306+106649+3847+2697+45410+31750+14139+24844+1473+0+2306+0+154393+0+10352+0+0+0)/1000</f>
        <v>2725.7020000000002</v>
      </c>
      <c r="C42" s="43">
        <f>(2658+133+458+1051+3068+747+1605+290+911+2590+2876+601+69+5081+1423+339+797+2262+2464+397+1472+2748+2159+1946+941+1440+195+650+279+263+2897+435+25011+2884+147+3725+1143+463+5781+892+1192+121+2491+4183+169+118+1794+1394+621+890+66+0+102+0+6278+0+455+0+0+0)/1000</f>
        <v>105.16500000000001</v>
      </c>
      <c r="D42" s="43">
        <f>(86789+3146+10866+24934+96487+17720+38056+6866+21612+73289+91962+14248+1639+144245+33764+8020+18919+53653+58452+9426+34923+88911+51205+48540+22320+41280+4621+15410+6625+10996+92431+10570+664451+68418+3504+112067+27117+10978+172718+23548+33008+2853+63850+111075+4007+2809+47294+33068+14726+25875+1534+0+2402+0+161268+0+10781+0+0+0)/1000</f>
        <v>2839.2759999999998</v>
      </c>
      <c r="E42" s="43">
        <f>SUM(C42:D42)</f>
        <v>2944.4409999999998</v>
      </c>
      <c r="F42" s="43">
        <f>(0+0+0+0+0+0+0+0+0+0+0+0+0+0+0+0+0+0+0+0+0+0+0+0+0+0+0+0+0+0+0+0+0+0+0+0+0+0+0+0+0+0+0+0+0+0+0+0+0+0+0+0+0+0+0+0+0+0+0+0)/1000</f>
        <v>0</v>
      </c>
    </row>
    <row r="43" spans="1:7" x14ac:dyDescent="0.2">
      <c r="A43" s="12" t="s">
        <v>387</v>
      </c>
      <c r="B43" s="43"/>
      <c r="C43" s="43"/>
      <c r="D43" s="43"/>
      <c r="E43" s="43"/>
      <c r="F43" s="43"/>
      <c r="G43" s="12"/>
    </row>
    <row r="44" spans="1:7" x14ac:dyDescent="0.2">
      <c r="A44" s="44" t="s">
        <v>534</v>
      </c>
      <c r="B44" s="43">
        <f>(25434+21701+32298+17703+328239+33363+43462+7919+9309+76977+56377+12898+13309+140726+33200+25153+16616+25131+24681+12479+48292+58498+109794+38395+17206+32154+8544+13946+23591+10517+99044+12827+175202+48508+6742+68667+20515+45550+116147+12074+27592+4598+29196+130679+22522+6786+35895+77962+10430+54346+7560+0+0+0+12677+0+1541+0+0+1870+10066+0)/1000</f>
        <v>2356.9079999999999</v>
      </c>
      <c r="C44" s="43">
        <f>(6+0+206+2+1438+2+444+0+53+10+10+66+0+10+162+5+1+86+0+3+1+21+54+6+49+18+137+1+70+1+537+1+1425+416+1+24+130+46+755+2+282+0+13+240+1+0+10+900+27+6+0+0+0+0+0+0+0+0+0+0+0+0)/1000</f>
        <v>7.6779999999999999</v>
      </c>
      <c r="D44" s="43">
        <f>(25454+21712+32521+17714+329853+33382+43929+7923+9368+77027+56416+12971+13316+140810+33379+25171+16626+25230+24694+12488+48318+58550+109905+38421+17264+32189+8686+13954+23673+10524+99633+12834+176719+48949+6746+68727+20656+45620+116963+12081+27889+4600+29225+130987+22535+6790+35923+78903+10463+54380+7564+0+0+0+12683+0+1542+0+0+1870+10066+0)/1000</f>
        <v>2365.8159999999998</v>
      </c>
      <c r="E44" s="43">
        <f>SUM(C44:D44)</f>
        <v>2373.4939999999997</v>
      </c>
      <c r="F44" s="43">
        <f>(26329+22458+33638+18323+341184+34529+45438+8195+9690+79673+58354+13417+13774+145648+34526+26036+17197+26097+25542+12917+49978+60562+113681+39741+17857+33295+8984+14433+24486+10886+103056+13275+182791+50631+6978+71088+21366+47187+120982+12496+28847+4758+30229+135487+23309+7023+37157+81614+10822+56248+7824+0+0+0+13119+0+1595+0+0+1870+10066+0)/1000</f>
        <v>2446.6860000000001</v>
      </c>
    </row>
    <row r="45" spans="1:7" x14ac:dyDescent="0.2">
      <c r="A45" s="12" t="s">
        <v>392</v>
      </c>
      <c r="B45" s="43"/>
      <c r="C45" s="43"/>
      <c r="D45" s="43"/>
      <c r="E45" s="43"/>
      <c r="F45" s="43"/>
      <c r="G45" s="12"/>
    </row>
    <row r="46" spans="1:7" x14ac:dyDescent="0.2">
      <c r="A46" s="44" t="s">
        <v>535</v>
      </c>
      <c r="B46" s="43">
        <f>(61461+218371+117311+45574+269949+82575+8135+2072+275+233898+52813+38563+33731+134112+72588+66136+38820+65549+51450+32676+40390+39884+105764+82309+37511+41193+50683+35167+39044+23399+48424+26350+147896+80887+45892+61848+55147+56748+101820+1483+70918+35369+86121+261112+70071+20006+54739+78980+15928+65120+30689+994+18096+5715+15271+9955+2802+0+0+0)/1000</f>
        <v>3589.7840000000001</v>
      </c>
      <c r="C46" s="43">
        <f>(2325+16983+1458+6150+17800+2000+1250+1750+0+16436+6331+0+4137+4500+5275+2753+3589+3500+6524+1600+1696+1250+9000+1050+3939+5107+2375+3279+1000+1500+2750+3259+6297+7450+1200+6400+3382+3075+6750+0+1100+10360+4000+13225+7500+5000+5250+6900+2300+3350+2500+0+0+0+0+0+0+0+0+0)/1000</f>
        <v>236.60499999999999</v>
      </c>
      <c r="D46" s="43">
        <f>(56848+229756+72290+35732+295867+77833+25110+9268+273+183817+83610+28351+33685+168028+69590+38225+41787+48173+75954+24662+33130+44184+75061+52198+41312+68671+44111+41489+49361+11862+26199+36716+120934+91967+69306+83954+42057+56702+79953+30255+71792+29154+73705+280176+52221+24272+78508+83132+22060+56961+34474+12438+7517+7365+12149+17277+7796+0+0+0)/1000</f>
        <v>3569.2779999999998</v>
      </c>
      <c r="E46" s="43">
        <f>SUM(C46:D46)</f>
        <v>3805.8829999999998</v>
      </c>
      <c r="F46" s="43">
        <f>(50568+204372+64303+31784+263179+69234+22336+8244+243+163509+74373+25219+29963+149464+61902+34002+37170+42850+67562+21937+29469+39302+66768+46431+36748+61084+39238+36905+43908+10552+23304+32659+107573+81806+61649+74678+37411+50437+71119+26912+63860+25933+65562+249221+46451+21590+69834+73947+19623+50668+30665+11064+6687+6552+10806+15368+6935+0+0+0)/1000</f>
        <v>3174.933</v>
      </c>
    </row>
    <row r="47" spans="1:7" x14ac:dyDescent="0.2">
      <c r="A47" s="12" t="s">
        <v>395</v>
      </c>
      <c r="B47" s="43"/>
      <c r="C47" s="43"/>
      <c r="D47" s="43"/>
      <c r="E47" s="43"/>
      <c r="F47" s="43"/>
      <c r="G47" s="12"/>
    </row>
    <row r="48" spans="1:7" x14ac:dyDescent="0.2">
      <c r="A48" s="44" t="s">
        <v>536</v>
      </c>
      <c r="B48" s="43">
        <f>(884343+603186+732511+581556+3865651+724497+610594+192319+170555+2134595+1412637+188587+438658+1502277+1009565+522608+458825+844283+782700+204579+627094+646424+1182755+751998+547908+1041804+478363+334589+357745+197261+1065831+407040+1967277+1491713+281551+1732940+806841+503435+1796401+238524+755820+352327+985863+3978556+383367+218046+1231426+718299+499257+988167+306761+7071+21052+1449+235690+0+12660+0+0+0)/1000</f>
        <v>45017.830999999998</v>
      </c>
      <c r="C48" s="43">
        <f>(3363+96138+107572+74255+314840+0+66261+11141+17469+170081+115868+44932+2436+101665+114259+106258+43290+28971+91662+32691+29773+102989+153012+6846+71031+136683+48316+84228+42926+27877+106625+8672+358525+26207+0+16498+52151+76588+145006+80732+75663+72926+75106+437421+33914+33493+45864+47776+84590+52090+50039+920+3504+555+203636+0+24361+0+665393+0)/1000</f>
        <v>5025.0879999999997</v>
      </c>
      <c r="D48" s="43">
        <f>(784419+522571+742149+526410+3680319+543081+528504+181776+165150+1915153+1308307+172622+292698+1457383+962814+517073+385364+681619+724025+203739+611185+637442+1081601+661893+486992+967676+430217+302466+368612+184140+1021967+366652+1714391+1076992+260490+1357211+652814+507483+1672585+243255+687690+299836+848826+3694889+354442+208103+1025542+698282+473619+763105+276204+6446+19268+1381+134479+0+11707+0+7579402+0)/1000</f>
        <v>47984.461000000003</v>
      </c>
      <c r="E48" s="43">
        <f>SUM(C48:D48)</f>
        <v>53009.548999999999</v>
      </c>
      <c r="F48" s="43">
        <f>(0+0+0+0+0+0+0+0+0+0+0+0+0+0+0+0+0+0+0+0+0+0+0+0+0+0+0+0+0+0+0+0+0+0+0+0+0+0+0+0+0+0+0+0+0+0+0+0+0+0+0+0+0+0+0+0+0+0+0+0)/1000</f>
        <v>0</v>
      </c>
    </row>
    <row r="49" spans="1:7" x14ac:dyDescent="0.2">
      <c r="A49" s="12" t="s">
        <v>402</v>
      </c>
      <c r="B49" s="43"/>
      <c r="C49" s="43"/>
      <c r="D49" s="43"/>
      <c r="E49" s="43"/>
      <c r="F49" s="43"/>
      <c r="G49" s="12"/>
    </row>
    <row r="50" spans="1:7" x14ac:dyDescent="0.2">
      <c r="A50" s="44" t="s">
        <v>537</v>
      </c>
      <c r="B50" s="43">
        <f>(58507+52053+176695+65595+2045654+163873+43459+41840+368150+487776+226869+60169+21414+692398+110089+61819+33095+64907+81104+54127+325335+638835+172734+183282+37590+135307+16280+45140+132511+25761+645513+81876+1664671+177441+23331+272501+57812+213262+447810+61109+65031+15753+95443+406303+10974+21321+116480+351369+27328+117945+14940+0+3920+7721+47708+0+9347+0+76528+0)/1000</f>
        <v>11655.805</v>
      </c>
      <c r="C50" s="43">
        <f>(28772+25598+86892+32257+1005974+80586+21371+20575+181042+239869+111565+29589+10531+340495+54138+30400+16275+31919+39884+26617+159987+314154+84944+90131+18485+66539+8006+22198+65164+12668+317439+40263+818621+87259+11473+134005+28430+104874+220216+30051+31980+7747+46935+199804+5397+10485+57281+172790+13439+58001+7347+0+1928+3797+23461+0+4596+0+38400+0)/1000</f>
        <v>5732.6440000000002</v>
      </c>
      <c r="D50" s="43">
        <f>(31169+27731+94133+34945+1089805+87302+23152+22290+196129+259858+120862+32055+11408+368869+58649+32934+17631+34579+43208+28836+173319+340334+92023+97642+20026+72084+8673+24048+70594+13724+343892+43619+886840+94530+12429+145172+30799+113613+238567+32555+34645+8392+50847+216454+5846+11358+62054+187189+14559+62834+7959+0+2088+4113+25416+0+4979+0+41600+0)/1000</f>
        <v>6210.3609999999999</v>
      </c>
      <c r="E50" s="43">
        <f>SUM(C50:D50)</f>
        <v>11943.005000000001</v>
      </c>
      <c r="F50" s="43">
        <f>(0+0+0+0+0+0+0+0+0+0+0+0+0+0+0+0+0+0+0+0+0+0+0+0+0+0+0+0+0+0+0+0+0+0+0+0+0+0+0+0+0+0+0+0+0+0+0+0+0+0+0+0+0+0+0+0+0+0+0+0)/1000</f>
        <v>0</v>
      </c>
    </row>
    <row r="51" spans="1:7" x14ac:dyDescent="0.2">
      <c r="A51" s="12" t="s">
        <v>405</v>
      </c>
      <c r="B51" s="43"/>
      <c r="C51" s="43"/>
      <c r="D51" s="43"/>
      <c r="E51" s="43"/>
      <c r="F51" s="43"/>
      <c r="G51" s="12"/>
    </row>
    <row r="52" spans="1:7" x14ac:dyDescent="0.2">
      <c r="A52" s="44" t="s">
        <v>538</v>
      </c>
      <c r="B52" s="43">
        <f>(17977+9606+16108+28117+117898+12838+19662+7879+7879+54175+27181+554+7879+72687+38679+21722+14512+20463+175+12424+38817+54491+69165+29499+14484+44047+7879+8223+7879+16039+65585+9327+177146+29017+7879+90352+14138+18130+63575+10777+16442+7879+23356+73356+8457+7879+32846+27908+25019+43389+7879+8701+6296+4044+21144+0+5201+15331+0+4487+745+108+25+0)/1000</f>
        <v>1625.356</v>
      </c>
      <c r="C52" s="43">
        <f>(538+288+325+315+3444+385+590+236+236+1625+814+373+236+2178+1161+652+435+613+529+373+1165+1635+2071+885+434+1335+236+246+236+481+1968+236+5315+869+236+2711+389+544+1907+323+493+236+700+2201+254+236+986+837+751+1302+236+261+189+121+628+0+152+983+0+0+26+0+0+0)/1000</f>
        <v>49.16</v>
      </c>
      <c r="D52" s="43">
        <f>(17411+9319+10517+10185+111357+12455+19074+7644+7644+52558+26326+12059+7644+70419+37524+21073+14054+19816+17117+12053+37658+52864+66948+28618+14028+43163+7644+7964+7644+15560+63626+7644+171858+28101+7644+87653+12579+17589+61676+10455+15951+7644+22618+71165+8204+7644+31865+27077+24272+42093+7644+8440+6107+3923+20308+0+4899+31794+0+0+855+0+0+0)/1000</f>
        <v>1589.6679999999999</v>
      </c>
      <c r="E52" s="43">
        <f>SUM(C52:D52)</f>
        <v>1638.828</v>
      </c>
      <c r="F52" s="43">
        <f>(12157+6507+7343+7112+77760+8697+13320+5337+5337+36700+18383+8421+5337+49173+26203+14715+9814+13838+11952+8416+26296+36914+46749+19984+9796+30140+5337+5561+5337+10865+44430+5337+120012+19622+5337+61207+8784+12282+43067+7300+11138+5337+15794+49694+5729+5337+22251+18907+16949+29393+5337+5904+4272+2744+14181+0+3427+30000+0+0+2505+0+0+0)/1000</f>
        <v>1119.778</v>
      </c>
    </row>
    <row r="53" spans="1:7" x14ac:dyDescent="0.2">
      <c r="A53" s="44" t="s">
        <v>539</v>
      </c>
      <c r="B53" s="43">
        <f>(23721+11004+24708+16555+100559+21741+11004+11004+11004+43187+25931+11336+11004+41516+16819+17349+12766+18132+16470+11004+20158+25533+26939+16797+11845+19399+11004+11004+12756+11004+18780+12749+44938+33792+11004+27674+16027+14478+33883+11004+14231+11004+19113+86205+11004+11004+17954+24583+11007+18754+11004+4145+3853+3245+11107+0+5312+15262+0+3055+2005+67+50+80+0)/1000</f>
        <v>1131.626</v>
      </c>
      <c r="C53" s="43">
        <f>(711+330+593+496+2908+651+330+330+330+1298+777+330+330+1244+504+522+382+543+493+330+604+765+809+503+355+581+330+330+382+330+563+330+1346+1012+330+829+467+434+1015+330+427+330+573+2583+330+330+538+736+330+562+330+124+115+97+330+0+158+676+0+84+60+0+0+0+0)/1000</f>
        <v>33.79</v>
      </c>
      <c r="D53" s="43">
        <f>(22975+10658+19167+16035+94021+21058+10658+10658+10658+41954+25115+10658+10658+40211+16291+16885+12366+17563+15953+10658+19524+24730+26163+16269+11473+18790+10658+10658+12355+10658+18189+10658+43526+32730+10658+26804+15110+14022+32818+10658+13803+10658+18512+83515+10658+10658+17389+23811+10658+18165+10658+4015+3732+3143+10658+0+5096+21846+0+2731+1940+0+0+0+0)/1000</f>
        <v>1092.297</v>
      </c>
      <c r="E53" s="43">
        <f>SUM(C53:D53)</f>
        <v>1126.087</v>
      </c>
      <c r="F53" s="43">
        <f>(18147+8418+15140+12665+74266+16633+8418+8418+8418+33139+19838+8418+8418+31761+12867+13336+9767+13872+12600+8418+15421+19533+20665+12850+9062+14841+8418+8418+9758+8418+14367+8418+34380+25852+8418+21172+11934+11076+25921+8418+10902+8418+14622+65966+8418+8418+13735+18807+8418+14348+8418+3171+2947+2482+8418+0+4026+17266+0+2158+2000+0+0+0+0)/1000</f>
        <v>863.23500000000001</v>
      </c>
    </row>
    <row r="54" spans="1:7" x14ac:dyDescent="0.2">
      <c r="A54" s="12" t="s">
        <v>97</v>
      </c>
      <c r="B54" s="43"/>
      <c r="C54" s="43"/>
      <c r="D54" s="43"/>
      <c r="E54" s="43"/>
      <c r="F54" s="43"/>
      <c r="G54" s="12"/>
    </row>
    <row r="55" spans="1:7" x14ac:dyDescent="0.2">
      <c r="A55" s="44" t="s">
        <v>540</v>
      </c>
      <c r="B55" s="43">
        <f>(19109+76949+102719+29425+254049+29106+15450+5707+7442+87871+47081+12222+18092+66576+44258+16832+22844+24604+29252+6266+17425+25830+42724+27621+26343+27253+5697+10066+5308+4498+42743+38080+70204+51317+1282+65210+37859+22326+61917+3566+14349+7065+86650+277324+38862+3128+34726+33900+13988+22987+2005+0+461+449+5922+0+27+6809+0+0)/1000</f>
        <v>2051.7750000000001</v>
      </c>
      <c r="C55" s="43">
        <f>(0+0+0+0+0+0+0+0+0+0+0+0+0+0+0+0+0+0+0+0+0+0+0+0+0+0+0+0+0+0+0+0+0+0+0+0+0+0+0+0+0+0+0+0+0+0+0+0+0+0+0+0+0+0+0+0+0+0+0+0)/1000</f>
        <v>0</v>
      </c>
      <c r="D55" s="43">
        <f>(20772+83644+111655+31985+276151+31638+16794+6203+8090+95515+51177+13285+19666+72368+48108+18297+24832+26745+31797+6811+18941+28078+46441+30025+28635+29623+6192+10941+5769+4890+46462+41393+76312+55781+1394+70883+41153+24268+67304+3876+15598+7680+94189+301451+42243+3400+37748+36850+15205+24987+2179+0+501+488+6437+0+29+7401+0+0)/1000</f>
        <v>2230.2800000000002</v>
      </c>
      <c r="E55" s="43">
        <f>SUM(C55:D55)</f>
        <v>2230.2800000000002</v>
      </c>
      <c r="F55" s="43">
        <f>(18072+72770+97140+27827+240251+27525+14611+5397+7038+83098+44524+11558+17109+62960+41854+15918+21604+23268+27663+5926+16479+24428+40404+26122+24912+25772+5387+9519+5019+4254+40422+36012+66391+48529+1213+61668+35803+21113+58554+3372+13570+6682+81944+262262+36751+2958+32841+32060+13228+21739+1896+0+436+425+5600+0+25+6439+0+0)/1000</f>
        <v>1940.3420000000001</v>
      </c>
    </row>
    <row r="56" spans="1:7" ht="15" customHeight="1" x14ac:dyDescent="0.2">
      <c r="A56" s="19" t="s">
        <v>110</v>
      </c>
      <c r="B56" s="20">
        <f>SUM(B5:B55)</f>
        <v>5945019.5729999999</v>
      </c>
      <c r="C56" s="20">
        <f>SUM(C5:C55)</f>
        <v>29316.367000000002</v>
      </c>
      <c r="D56" s="20">
        <f>SUM(D5:D55)</f>
        <v>6050108.612999998</v>
      </c>
      <c r="E56" s="20">
        <f>SUM(E5:E55)</f>
        <v>6079424.9799999995</v>
      </c>
      <c r="F56" s="20">
        <f>SUM(F5:F55)</f>
        <v>682123.73</v>
      </c>
    </row>
  </sheetData>
  <mergeCells count="3">
    <mergeCell ref="A3:A4"/>
    <mergeCell ref="B3:B4"/>
    <mergeCell ref="F3:F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370</v>
      </c>
      <c r="B1" s="10"/>
      <c r="C1" s="10"/>
      <c r="D1" s="10"/>
      <c r="E1" s="10"/>
      <c r="F1" s="10"/>
      <c r="G1" s="12" t="s">
        <v>371</v>
      </c>
    </row>
    <row r="2" spans="1:7" x14ac:dyDescent="0.2">
      <c r="A2" s="13" t="s">
        <v>373</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0</v>
      </c>
      <c r="C6" s="17">
        <v>0</v>
      </c>
      <c r="D6" s="17">
        <v>0</v>
      </c>
      <c r="E6" s="17">
        <v>0</v>
      </c>
      <c r="F6" s="17">
        <v>0</v>
      </c>
      <c r="G6" s="18">
        <f>IF(AND(F65&lt;&gt;0,0&lt;&gt;0),IF(100*0/(F65-0)&lt;0.005,"*",100*0/(F65-0)),0)</f>
        <v>0</v>
      </c>
    </row>
    <row r="7" spans="1:7" x14ac:dyDescent="0.2">
      <c r="A7" s="11" t="s">
        <v>112</v>
      </c>
      <c r="B7" s="17">
        <v>0</v>
      </c>
      <c r="C7" s="17">
        <v>35856</v>
      </c>
      <c r="D7" s="17">
        <v>0</v>
      </c>
      <c r="E7" s="17">
        <v>35856</v>
      </c>
      <c r="F7" s="17">
        <v>0</v>
      </c>
      <c r="G7" s="18">
        <f>IF(AND(F65&lt;&gt;0,0&lt;&gt;0),IF(100*0/(F65-0)&lt;0.005,"*",100*0/(F65-0)),0)</f>
        <v>0</v>
      </c>
    </row>
    <row r="8" spans="1:7" x14ac:dyDescent="0.2">
      <c r="A8" s="11" t="s">
        <v>113</v>
      </c>
      <c r="B8" s="17">
        <v>0</v>
      </c>
      <c r="C8" s="17">
        <v>0</v>
      </c>
      <c r="D8" s="17">
        <v>0</v>
      </c>
      <c r="E8" s="17">
        <v>0</v>
      </c>
      <c r="F8" s="17">
        <v>0</v>
      </c>
      <c r="G8" s="18">
        <f>IF(AND(F65&lt;&gt;0,0&lt;&gt;0),IF(100*0/(F65-0)&lt;0.005,"*",100*0/(F65-0)),0)</f>
        <v>0</v>
      </c>
    </row>
    <row r="9" spans="1:7" x14ac:dyDescent="0.2">
      <c r="A9" s="11" t="s">
        <v>114</v>
      </c>
      <c r="B9" s="17">
        <v>0</v>
      </c>
      <c r="C9" s="17">
        <v>8940</v>
      </c>
      <c r="D9" s="17">
        <v>0</v>
      </c>
      <c r="E9" s="17">
        <v>8940</v>
      </c>
      <c r="F9" s="17">
        <v>0</v>
      </c>
      <c r="G9" s="18">
        <f>IF(AND(F65&lt;&gt;0,0&lt;&gt;0),IF(100*0/(F65-0)&lt;0.005,"*",100*0/(F65-0)),0)</f>
        <v>0</v>
      </c>
    </row>
    <row r="10" spans="1:7" x14ac:dyDescent="0.2">
      <c r="A10" s="11" t="s">
        <v>115</v>
      </c>
      <c r="B10" s="17">
        <v>124155</v>
      </c>
      <c r="C10" s="17">
        <v>1143675</v>
      </c>
      <c r="D10" s="17">
        <v>0</v>
      </c>
      <c r="E10" s="17">
        <v>1143675</v>
      </c>
      <c r="F10" s="17">
        <v>0</v>
      </c>
      <c r="G10" s="18">
        <f>IF(AND(F65&lt;&gt;0,0&lt;&gt;0),IF(100*0/(F65-0)&lt;0.005,"*",100*0/(F65-0)),0)</f>
        <v>0</v>
      </c>
    </row>
    <row r="11" spans="1:7" x14ac:dyDescent="0.2">
      <c r="A11" s="11" t="s">
        <v>116</v>
      </c>
      <c r="B11" s="17">
        <v>0</v>
      </c>
      <c r="C11" s="17">
        <v>0</v>
      </c>
      <c r="D11" s="17">
        <v>0</v>
      </c>
      <c r="E11" s="17">
        <v>0</v>
      </c>
      <c r="F11" s="17">
        <v>0</v>
      </c>
      <c r="G11" s="18">
        <f>IF(AND(F65&lt;&gt;0,0&lt;&gt;0),IF(100*0/(F65-0)&lt;0.005,"*",100*0/(F65-0)),0)</f>
        <v>0</v>
      </c>
    </row>
    <row r="12" spans="1:7" x14ac:dyDescent="0.2">
      <c r="A12" s="11" t="s">
        <v>117</v>
      </c>
      <c r="B12" s="17">
        <v>0</v>
      </c>
      <c r="C12" s="17">
        <v>0</v>
      </c>
      <c r="D12" s="17">
        <v>0</v>
      </c>
      <c r="E12" s="17">
        <v>0</v>
      </c>
      <c r="F12" s="17">
        <v>0</v>
      </c>
      <c r="G12" s="18">
        <f>IF(AND(F65&lt;&gt;0,0&lt;&gt;0),IF(100*0/(F65-0)&lt;0.005,"*",100*0/(F65-0)),0)</f>
        <v>0</v>
      </c>
    </row>
    <row r="13" spans="1:7" x14ac:dyDescent="0.2">
      <c r="A13" s="11" t="s">
        <v>118</v>
      </c>
      <c r="B13" s="17">
        <v>0</v>
      </c>
      <c r="C13" s="17">
        <v>0</v>
      </c>
      <c r="D13" s="17">
        <v>0</v>
      </c>
      <c r="E13" s="17">
        <v>0</v>
      </c>
      <c r="F13" s="17">
        <v>0</v>
      </c>
      <c r="G13" s="18">
        <f>IF(AND(F65&lt;&gt;0,0&lt;&gt;0),IF(100*0/(F65-0)&lt;0.005,"*",100*0/(F65-0)),0)</f>
        <v>0</v>
      </c>
    </row>
    <row r="14" spans="1:7" x14ac:dyDescent="0.2">
      <c r="A14" s="11" t="s">
        <v>119</v>
      </c>
      <c r="B14" s="17">
        <v>0</v>
      </c>
      <c r="C14" s="17">
        <v>0</v>
      </c>
      <c r="D14" s="17">
        <v>0</v>
      </c>
      <c r="E14" s="17">
        <v>0</v>
      </c>
      <c r="F14" s="17">
        <v>0</v>
      </c>
      <c r="G14" s="18">
        <f>IF(AND(F65&lt;&gt;0,0&lt;&gt;0),IF(100*0/(F65-0)&lt;0.005,"*",100*0/(F65-0)),0)</f>
        <v>0</v>
      </c>
    </row>
    <row r="15" spans="1:7" x14ac:dyDescent="0.2">
      <c r="A15" s="11" t="s">
        <v>120</v>
      </c>
      <c r="B15" s="17">
        <v>157676</v>
      </c>
      <c r="C15" s="17">
        <v>1407675</v>
      </c>
      <c r="D15" s="17">
        <v>0</v>
      </c>
      <c r="E15" s="17">
        <v>1407675</v>
      </c>
      <c r="F15" s="17">
        <v>0</v>
      </c>
      <c r="G15" s="18">
        <f>IF(AND(F65&lt;&gt;0,0&lt;&gt;0),IF(100*0/(F65-0)&lt;0.005,"*",100*0/(F65-0)),0)</f>
        <v>0</v>
      </c>
    </row>
    <row r="16" spans="1:7" x14ac:dyDescent="0.2">
      <c r="A16" s="11" t="s">
        <v>121</v>
      </c>
      <c r="B16" s="17">
        <v>37943</v>
      </c>
      <c r="C16" s="17">
        <v>81813</v>
      </c>
      <c r="D16" s="17">
        <v>0</v>
      </c>
      <c r="E16" s="17">
        <v>81813</v>
      </c>
      <c r="F16" s="17">
        <v>0</v>
      </c>
      <c r="G16" s="18">
        <f>IF(AND(F65&lt;&gt;0,0&lt;&gt;0),IF(100*0/(F65-0)&lt;0.005,"*",100*0/(F65-0)),0)</f>
        <v>0</v>
      </c>
    </row>
    <row r="17" spans="1:7" x14ac:dyDescent="0.2">
      <c r="A17" s="11" t="s">
        <v>122</v>
      </c>
      <c r="B17" s="17">
        <v>3975</v>
      </c>
      <c r="C17" s="17">
        <v>93017</v>
      </c>
      <c r="D17" s="17">
        <v>0</v>
      </c>
      <c r="E17" s="17">
        <v>93017</v>
      </c>
      <c r="F17" s="17">
        <v>0</v>
      </c>
      <c r="G17" s="18">
        <f>IF(AND(F65&lt;&gt;0,0&lt;&gt;0),IF(100*0/(F65-0)&lt;0.005,"*",100*0/(F65-0)),0)</f>
        <v>0</v>
      </c>
    </row>
    <row r="18" spans="1:7" x14ac:dyDescent="0.2">
      <c r="A18" s="11" t="s">
        <v>123</v>
      </c>
      <c r="B18" s="17">
        <v>0</v>
      </c>
      <c r="C18" s="17">
        <v>0</v>
      </c>
      <c r="D18" s="17">
        <v>0</v>
      </c>
      <c r="E18" s="17">
        <v>0</v>
      </c>
      <c r="F18" s="17">
        <v>0</v>
      </c>
      <c r="G18" s="18">
        <f>IF(AND(F65&lt;&gt;0,0&lt;&gt;0),IF(100*0/(F65-0)&lt;0.005,"*",100*0/(F65-0)),0)</f>
        <v>0</v>
      </c>
    </row>
    <row r="19" spans="1:7" x14ac:dyDescent="0.2">
      <c r="A19" s="11" t="s">
        <v>124</v>
      </c>
      <c r="B19" s="17">
        <v>0</v>
      </c>
      <c r="C19" s="17">
        <v>0</v>
      </c>
      <c r="D19" s="17">
        <v>0</v>
      </c>
      <c r="E19" s="17">
        <v>0</v>
      </c>
      <c r="F19" s="17">
        <v>0</v>
      </c>
      <c r="G19" s="18">
        <f>IF(AND(F65&lt;&gt;0,0&lt;&gt;0),IF(100*0/(F65-0)&lt;0.005,"*",100*0/(F65-0)),0)</f>
        <v>0</v>
      </c>
    </row>
    <row r="20" spans="1:7" x14ac:dyDescent="0.2">
      <c r="A20" s="11" t="s">
        <v>125</v>
      </c>
      <c r="B20" s="17">
        <v>0</v>
      </c>
      <c r="C20" s="17">
        <v>0</v>
      </c>
      <c r="D20" s="17">
        <v>0</v>
      </c>
      <c r="E20" s="17">
        <v>0</v>
      </c>
      <c r="F20" s="17">
        <v>0</v>
      </c>
      <c r="G20" s="18">
        <f>IF(AND(F65&lt;&gt;0,0&lt;&gt;0),IF(100*0/(F65-0)&lt;0.005,"*",100*0/(F65-0)),0)</f>
        <v>0</v>
      </c>
    </row>
    <row r="21" spans="1:7" x14ac:dyDescent="0.2">
      <c r="A21" s="11" t="s">
        <v>126</v>
      </c>
      <c r="B21" s="17">
        <v>0</v>
      </c>
      <c r="C21" s="17">
        <v>96741</v>
      </c>
      <c r="D21" s="17">
        <v>0</v>
      </c>
      <c r="E21" s="17">
        <v>96741</v>
      </c>
      <c r="F21" s="17">
        <v>0</v>
      </c>
      <c r="G21" s="18">
        <f>IF(AND(F65&lt;&gt;0,0&lt;&gt;0),IF(100*0/(F65-0)&lt;0.005,"*",100*0/(F65-0)),0)</f>
        <v>0</v>
      </c>
    </row>
    <row r="22" spans="1:7" x14ac:dyDescent="0.2">
      <c r="A22" s="11" t="s">
        <v>127</v>
      </c>
      <c r="B22" s="17">
        <v>0</v>
      </c>
      <c r="C22" s="17">
        <v>0</v>
      </c>
      <c r="D22" s="17">
        <v>0</v>
      </c>
      <c r="E22" s="17">
        <v>0</v>
      </c>
      <c r="F22" s="17">
        <v>0</v>
      </c>
      <c r="G22" s="18">
        <f>IF(AND(F65&lt;&gt;0,0&lt;&gt;0),IF(100*0/(F65-0)&lt;0.005,"*",100*0/(F65-0)),0)</f>
        <v>0</v>
      </c>
    </row>
    <row r="23" spans="1:7" x14ac:dyDescent="0.2">
      <c r="A23" s="11" t="s">
        <v>128</v>
      </c>
      <c r="B23" s="17">
        <v>0</v>
      </c>
      <c r="C23" s="17">
        <v>0</v>
      </c>
      <c r="D23" s="17">
        <v>0</v>
      </c>
      <c r="E23" s="17">
        <v>0</v>
      </c>
      <c r="F23" s="17">
        <v>0</v>
      </c>
      <c r="G23" s="18">
        <f>IF(AND(F65&lt;&gt;0,0&lt;&gt;0),IF(100*0/(F65-0)&lt;0.005,"*",100*0/(F65-0)),0)</f>
        <v>0</v>
      </c>
    </row>
    <row r="24" spans="1:7" x14ac:dyDescent="0.2">
      <c r="A24" s="11" t="s">
        <v>129</v>
      </c>
      <c r="B24" s="17">
        <v>0</v>
      </c>
      <c r="C24" s="17">
        <v>1213917</v>
      </c>
      <c r="D24" s="17">
        <v>0</v>
      </c>
      <c r="E24" s="17">
        <v>1213917</v>
      </c>
      <c r="F24" s="17">
        <v>0</v>
      </c>
      <c r="G24" s="18">
        <f>IF(AND(F65&lt;&gt;0,0&lt;&gt;0),IF(100*0/(F65-0)&lt;0.005,"*",100*0/(F65-0)),0)</f>
        <v>0</v>
      </c>
    </row>
    <row r="25" spans="1:7" x14ac:dyDescent="0.2">
      <c r="A25" s="11" t="s">
        <v>130</v>
      </c>
      <c r="B25" s="17">
        <v>0</v>
      </c>
      <c r="C25" s="17">
        <v>0</v>
      </c>
      <c r="D25" s="17">
        <v>0</v>
      </c>
      <c r="E25" s="17">
        <v>0</v>
      </c>
      <c r="F25" s="17">
        <v>0</v>
      </c>
      <c r="G25" s="18">
        <f>IF(AND(F65&lt;&gt;0,0&lt;&gt;0),IF(100*0/(F65-0)&lt;0.005,"*",100*0/(F65-0)),0)</f>
        <v>0</v>
      </c>
    </row>
    <row r="26" spans="1:7" x14ac:dyDescent="0.2">
      <c r="A26" s="11" t="s">
        <v>131</v>
      </c>
      <c r="B26" s="17">
        <v>0</v>
      </c>
      <c r="C26" s="17">
        <v>0</v>
      </c>
      <c r="D26" s="17">
        <v>0</v>
      </c>
      <c r="E26" s="17">
        <v>0</v>
      </c>
      <c r="F26" s="17">
        <v>0</v>
      </c>
      <c r="G26" s="18">
        <f>IF(AND(F65&lt;&gt;0,0&lt;&gt;0),IF(100*0/(F65-0)&lt;0.005,"*",100*0/(F65-0)),0)</f>
        <v>0</v>
      </c>
    </row>
    <row r="27" spans="1:7" x14ac:dyDescent="0.2">
      <c r="A27" s="11" t="s">
        <v>132</v>
      </c>
      <c r="B27" s="17">
        <v>0</v>
      </c>
      <c r="C27" s="17">
        <v>0</v>
      </c>
      <c r="D27" s="17">
        <v>0</v>
      </c>
      <c r="E27" s="17">
        <v>0</v>
      </c>
      <c r="F27" s="17">
        <v>0</v>
      </c>
      <c r="G27" s="18">
        <f>IF(AND(F65&lt;&gt;0,0&lt;&gt;0),IF(100*0/(F65-0)&lt;0.005,"*",100*0/(F65-0)),0)</f>
        <v>0</v>
      </c>
    </row>
    <row r="28" spans="1:7" x14ac:dyDescent="0.2">
      <c r="A28" s="11" t="s">
        <v>133</v>
      </c>
      <c r="B28" s="17">
        <v>0</v>
      </c>
      <c r="C28" s="17">
        <v>0</v>
      </c>
      <c r="D28" s="17">
        <v>0</v>
      </c>
      <c r="E28" s="17">
        <v>0</v>
      </c>
      <c r="F28" s="17">
        <v>0</v>
      </c>
      <c r="G28" s="18">
        <f>IF(AND(F65&lt;&gt;0,0&lt;&gt;0),IF(100*0/(F65-0)&lt;0.005,"*",100*0/(F65-0)),0)</f>
        <v>0</v>
      </c>
    </row>
    <row r="29" spans="1:7" x14ac:dyDescent="0.2">
      <c r="A29" s="11" t="s">
        <v>134</v>
      </c>
      <c r="B29" s="17">
        <v>0</v>
      </c>
      <c r="C29" s="17">
        <v>0</v>
      </c>
      <c r="D29" s="17">
        <v>0</v>
      </c>
      <c r="E29" s="17">
        <v>0</v>
      </c>
      <c r="F29" s="17">
        <v>0</v>
      </c>
      <c r="G29" s="18">
        <f>IF(AND(F65&lt;&gt;0,0&lt;&gt;0),IF(100*0/(F65-0)&lt;0.005,"*",100*0/(F65-0)),0)</f>
        <v>0</v>
      </c>
    </row>
    <row r="30" spans="1:7" x14ac:dyDescent="0.2">
      <c r="A30" s="11" t="s">
        <v>135</v>
      </c>
      <c r="B30" s="17">
        <v>0</v>
      </c>
      <c r="C30" s="17">
        <v>0</v>
      </c>
      <c r="D30" s="17">
        <v>0</v>
      </c>
      <c r="E30" s="17">
        <v>0</v>
      </c>
      <c r="F30" s="17">
        <v>0</v>
      </c>
      <c r="G30" s="18">
        <f>IF(AND(F65&lt;&gt;0,0&lt;&gt;0),IF(100*0/(F65-0)&lt;0.005,"*",100*0/(F65-0)),0)</f>
        <v>0</v>
      </c>
    </row>
    <row r="31" spans="1:7" x14ac:dyDescent="0.2">
      <c r="A31" s="11" t="s">
        <v>136</v>
      </c>
      <c r="B31" s="17">
        <v>58535</v>
      </c>
      <c r="C31" s="17">
        <v>82215</v>
      </c>
      <c r="D31" s="17">
        <v>0</v>
      </c>
      <c r="E31" s="17">
        <v>82215</v>
      </c>
      <c r="F31" s="17">
        <v>0</v>
      </c>
      <c r="G31" s="18">
        <f>IF(AND(F65&lt;&gt;0,0&lt;&gt;0),IF(100*0/(F65-0)&lt;0.005,"*",100*0/(F65-0)),0)</f>
        <v>0</v>
      </c>
    </row>
    <row r="32" spans="1:7" x14ac:dyDescent="0.2">
      <c r="A32" s="11" t="s">
        <v>137</v>
      </c>
      <c r="B32" s="17">
        <v>0</v>
      </c>
      <c r="C32" s="17">
        <v>0</v>
      </c>
      <c r="D32" s="17">
        <v>0</v>
      </c>
      <c r="E32" s="17">
        <v>0</v>
      </c>
      <c r="F32" s="17">
        <v>0</v>
      </c>
      <c r="G32" s="18">
        <f>IF(AND(F65&lt;&gt;0,0&lt;&gt;0),IF(100*0/(F65-0)&lt;0.005,"*",100*0/(F65-0)),0)</f>
        <v>0</v>
      </c>
    </row>
    <row r="33" spans="1:7" x14ac:dyDescent="0.2">
      <c r="A33" s="11" t="s">
        <v>138</v>
      </c>
      <c r="B33" s="17">
        <v>0</v>
      </c>
      <c r="C33" s="17">
        <v>108938</v>
      </c>
      <c r="D33" s="17">
        <v>0</v>
      </c>
      <c r="E33" s="17">
        <v>108938</v>
      </c>
      <c r="F33" s="17">
        <v>0</v>
      </c>
      <c r="G33" s="18">
        <f>IF(AND(F65&lt;&gt;0,0&lt;&gt;0),IF(100*0/(F65-0)&lt;0.005,"*",100*0/(F65-0)),0)</f>
        <v>0</v>
      </c>
    </row>
    <row r="34" spans="1:7" x14ac:dyDescent="0.2">
      <c r="A34" s="11" t="s">
        <v>139</v>
      </c>
      <c r="B34" s="17">
        <v>0</v>
      </c>
      <c r="C34" s="17">
        <v>0</v>
      </c>
      <c r="D34" s="17">
        <v>0</v>
      </c>
      <c r="E34" s="17">
        <v>0</v>
      </c>
      <c r="F34" s="17">
        <v>0</v>
      </c>
      <c r="G34" s="18">
        <f>IF(AND(F65&lt;&gt;0,0&lt;&gt;0),IF(100*0/(F65-0)&lt;0.005,"*",100*0/(F65-0)),0)</f>
        <v>0</v>
      </c>
    </row>
    <row r="35" spans="1:7" x14ac:dyDescent="0.2">
      <c r="A35" s="11" t="s">
        <v>140</v>
      </c>
      <c r="B35" s="17">
        <v>0</v>
      </c>
      <c r="C35" s="17">
        <v>0</v>
      </c>
      <c r="D35" s="17">
        <v>0</v>
      </c>
      <c r="E35" s="17">
        <v>0</v>
      </c>
      <c r="F35" s="17">
        <v>0</v>
      </c>
      <c r="G35" s="18">
        <f>IF(AND(F65&lt;&gt;0,0&lt;&gt;0),IF(100*0/(F65-0)&lt;0.005,"*",100*0/(F65-0)),0)</f>
        <v>0</v>
      </c>
    </row>
    <row r="36" spans="1:7" x14ac:dyDescent="0.2">
      <c r="A36" s="11" t="s">
        <v>141</v>
      </c>
      <c r="B36" s="17">
        <v>0</v>
      </c>
      <c r="C36" s="17">
        <v>0</v>
      </c>
      <c r="D36" s="17">
        <v>0</v>
      </c>
      <c r="E36" s="17">
        <v>0</v>
      </c>
      <c r="F36" s="17">
        <v>0</v>
      </c>
      <c r="G36" s="18">
        <f>IF(AND(F65&lt;&gt;0,0&lt;&gt;0),IF(100*0/(F65-0)&lt;0.005,"*",100*0/(F65-0)),0)</f>
        <v>0</v>
      </c>
    </row>
    <row r="37" spans="1:7" x14ac:dyDescent="0.2">
      <c r="A37" s="11" t="s">
        <v>142</v>
      </c>
      <c r="B37" s="17">
        <v>0</v>
      </c>
      <c r="C37" s="17">
        <v>0</v>
      </c>
      <c r="D37" s="17">
        <v>0</v>
      </c>
      <c r="E37" s="17">
        <v>0</v>
      </c>
      <c r="F37" s="17">
        <v>0</v>
      </c>
      <c r="G37" s="18">
        <f>IF(AND(F65&lt;&gt;0,0&lt;&gt;0),IF(100*0/(F65-0)&lt;0.005,"*",100*0/(F65-0)),0)</f>
        <v>0</v>
      </c>
    </row>
    <row r="38" spans="1:7" x14ac:dyDescent="0.2">
      <c r="A38" s="11" t="s">
        <v>143</v>
      </c>
      <c r="B38" s="17">
        <v>0</v>
      </c>
      <c r="C38" s="17">
        <v>0</v>
      </c>
      <c r="D38" s="17">
        <v>0</v>
      </c>
      <c r="E38" s="17">
        <v>0</v>
      </c>
      <c r="F38" s="17">
        <v>0</v>
      </c>
      <c r="G38" s="18">
        <f>IF(AND(F65&lt;&gt;0,0&lt;&gt;0),IF(100*0/(F65-0)&lt;0.005,"*",100*0/(F65-0)),0)</f>
        <v>0</v>
      </c>
    </row>
    <row r="39" spans="1:7" x14ac:dyDescent="0.2">
      <c r="A39" s="11" t="s">
        <v>144</v>
      </c>
      <c r="B39" s="17">
        <v>0</v>
      </c>
      <c r="C39" s="17">
        <v>710711</v>
      </c>
      <c r="D39" s="17">
        <v>0</v>
      </c>
      <c r="E39" s="17">
        <v>710711</v>
      </c>
      <c r="F39" s="17">
        <v>0</v>
      </c>
      <c r="G39" s="18">
        <f>IF(AND(F65&lt;&gt;0,0&lt;&gt;0),IF(100*0/(F65-0)&lt;0.005,"*",100*0/(F65-0)),0)</f>
        <v>0</v>
      </c>
    </row>
    <row r="40" spans="1:7" x14ac:dyDescent="0.2">
      <c r="A40" s="11" t="s">
        <v>145</v>
      </c>
      <c r="B40" s="17">
        <v>0</v>
      </c>
      <c r="C40" s="17">
        <v>0</v>
      </c>
      <c r="D40" s="17">
        <v>0</v>
      </c>
      <c r="E40" s="17">
        <v>0</v>
      </c>
      <c r="F40" s="17">
        <v>0</v>
      </c>
      <c r="G40" s="18">
        <f>IF(AND(F65&lt;&gt;0,0&lt;&gt;0),IF(100*0/(F65-0)&lt;0.005,"*",100*0/(F65-0)),0)</f>
        <v>0</v>
      </c>
    </row>
    <row r="41" spans="1:7" x14ac:dyDescent="0.2">
      <c r="A41" s="11" t="s">
        <v>146</v>
      </c>
      <c r="B41" s="17">
        <v>0</v>
      </c>
      <c r="C41" s="17">
        <v>12305</v>
      </c>
      <c r="D41" s="17">
        <v>0</v>
      </c>
      <c r="E41" s="17">
        <v>12305</v>
      </c>
      <c r="F41" s="17">
        <v>0</v>
      </c>
      <c r="G41" s="18">
        <f>IF(AND(F65&lt;&gt;0,0&lt;&gt;0),IF(100*0/(F65-0)&lt;0.005,"*",100*0/(F65-0)),0)</f>
        <v>0</v>
      </c>
    </row>
    <row r="42" spans="1:7" x14ac:dyDescent="0.2">
      <c r="A42" s="11" t="s">
        <v>147</v>
      </c>
      <c r="B42" s="17">
        <v>0</v>
      </c>
      <c r="C42" s="17">
        <v>36353</v>
      </c>
      <c r="D42" s="17">
        <v>0</v>
      </c>
      <c r="E42" s="17">
        <v>36353</v>
      </c>
      <c r="F42" s="17">
        <v>0</v>
      </c>
      <c r="G42" s="18">
        <f>IF(AND(F65&lt;&gt;0,0&lt;&gt;0),IF(100*0/(F65-0)&lt;0.005,"*",100*0/(F65-0)),0)</f>
        <v>0</v>
      </c>
    </row>
    <row r="43" spans="1:7" x14ac:dyDescent="0.2">
      <c r="A43" s="11" t="s">
        <v>148</v>
      </c>
      <c r="B43" s="17">
        <v>0</v>
      </c>
      <c r="C43" s="17">
        <v>0</v>
      </c>
      <c r="D43" s="17">
        <v>0</v>
      </c>
      <c r="E43" s="17">
        <v>0</v>
      </c>
      <c r="F43" s="17">
        <v>0</v>
      </c>
      <c r="G43" s="18">
        <f>IF(AND(F65&lt;&gt;0,0&lt;&gt;0),IF(100*0/(F65-0)&lt;0.005,"*",100*0/(F65-0)),0)</f>
        <v>0</v>
      </c>
    </row>
    <row r="44" spans="1:7" x14ac:dyDescent="0.2">
      <c r="A44" s="11" t="s">
        <v>149</v>
      </c>
      <c r="B44" s="17">
        <v>0</v>
      </c>
      <c r="C44" s="17">
        <v>0</v>
      </c>
      <c r="D44" s="17">
        <v>0</v>
      </c>
      <c r="E44" s="17">
        <v>0</v>
      </c>
      <c r="F44" s="17">
        <v>0</v>
      </c>
      <c r="G44" s="18">
        <f>IF(AND(F65&lt;&gt;0,0&lt;&gt;0),IF(100*0/(F65-0)&lt;0.005,"*",100*0/(F65-0)),0)</f>
        <v>0</v>
      </c>
    </row>
    <row r="45" spans="1:7" x14ac:dyDescent="0.2">
      <c r="A45" s="11" t="s">
        <v>150</v>
      </c>
      <c r="B45" s="17">
        <v>0</v>
      </c>
      <c r="C45" s="17">
        <v>0</v>
      </c>
      <c r="D45" s="17">
        <v>0</v>
      </c>
      <c r="E45" s="17">
        <v>0</v>
      </c>
      <c r="F45" s="17">
        <v>0</v>
      </c>
      <c r="G45" s="18">
        <f>IF(AND(F65&lt;&gt;0,0&lt;&gt;0),IF(100*0/(F65-0)&lt;0.005,"*",100*0/(F65-0)),0)</f>
        <v>0</v>
      </c>
    </row>
    <row r="46" spans="1:7" x14ac:dyDescent="0.2">
      <c r="A46" s="11" t="s">
        <v>151</v>
      </c>
      <c r="B46" s="17">
        <v>0</v>
      </c>
      <c r="C46" s="17">
        <v>229665</v>
      </c>
      <c r="D46" s="17">
        <v>0</v>
      </c>
      <c r="E46" s="17">
        <v>229665</v>
      </c>
      <c r="F46" s="17">
        <v>55634</v>
      </c>
      <c r="G46" s="18">
        <f>IF(AND(F65&lt;&gt;0,55634&lt;&gt;0),IF(100*55634/(F65-0)&lt;0.005,"*",100*55634/(F65-0)),0)</f>
        <v>0.34762626695915244</v>
      </c>
    </row>
    <row r="47" spans="1:7" x14ac:dyDescent="0.2">
      <c r="A47" s="11" t="s">
        <v>152</v>
      </c>
      <c r="B47" s="17">
        <v>0</v>
      </c>
      <c r="C47" s="17">
        <v>0</v>
      </c>
      <c r="D47" s="17">
        <v>0</v>
      </c>
      <c r="E47" s="17">
        <v>0</v>
      </c>
      <c r="F47" s="17">
        <v>0</v>
      </c>
      <c r="G47" s="18">
        <f>IF(AND(F65&lt;&gt;0,0&lt;&gt;0),IF(100*0/(F65-0)&lt;0.005,"*",100*0/(F65-0)),0)</f>
        <v>0</v>
      </c>
    </row>
    <row r="48" spans="1:7" x14ac:dyDescent="0.2">
      <c r="A48" s="11" t="s">
        <v>153</v>
      </c>
      <c r="B48" s="17">
        <v>0</v>
      </c>
      <c r="C48" s="17">
        <v>0</v>
      </c>
      <c r="D48" s="17">
        <v>0</v>
      </c>
      <c r="E48" s="17">
        <v>0</v>
      </c>
      <c r="F48" s="17">
        <v>0</v>
      </c>
      <c r="G48" s="18">
        <f>IF(AND(F65&lt;&gt;0,0&lt;&gt;0),IF(100*0/(F65-0)&lt;0.005,"*",100*0/(F65-0)),0)</f>
        <v>0</v>
      </c>
    </row>
    <row r="49" spans="1:7" x14ac:dyDescent="0.2">
      <c r="A49" s="11" t="s">
        <v>154</v>
      </c>
      <c r="B49" s="17">
        <v>652175</v>
      </c>
      <c r="C49" s="17">
        <v>4668739</v>
      </c>
      <c r="D49" s="17">
        <v>0</v>
      </c>
      <c r="E49" s="17">
        <v>4668739</v>
      </c>
      <c r="F49" s="17">
        <v>0</v>
      </c>
      <c r="G49" s="18">
        <f>IF(AND(F65&lt;&gt;0,0&lt;&gt;0),IF(100*0/(F65-0)&lt;0.005,"*",100*0/(F65-0)),0)</f>
        <v>0</v>
      </c>
    </row>
    <row r="50" spans="1:7" x14ac:dyDescent="0.2">
      <c r="A50" s="11" t="s">
        <v>155</v>
      </c>
      <c r="B50" s="17">
        <v>0</v>
      </c>
      <c r="C50" s="17">
        <v>0</v>
      </c>
      <c r="D50" s="17">
        <v>0</v>
      </c>
      <c r="E50" s="17">
        <v>0</v>
      </c>
      <c r="F50" s="17">
        <v>0</v>
      </c>
      <c r="G50" s="18">
        <f>IF(AND(F65&lt;&gt;0,0&lt;&gt;0),IF(100*0/(F65-0)&lt;0.005,"*",100*0/(F65-0)),0)</f>
        <v>0</v>
      </c>
    </row>
    <row r="51" spans="1:7" x14ac:dyDescent="0.2">
      <c r="A51" s="11" t="s">
        <v>156</v>
      </c>
      <c r="B51" s="17">
        <v>0</v>
      </c>
      <c r="C51" s="17">
        <v>0</v>
      </c>
      <c r="D51" s="17">
        <v>0</v>
      </c>
      <c r="E51" s="17">
        <v>0</v>
      </c>
      <c r="F51" s="17">
        <v>0</v>
      </c>
      <c r="G51" s="18">
        <f>IF(AND(F65&lt;&gt;0,0&lt;&gt;0),IF(100*0/(F65-0)&lt;0.005,"*",100*0/(F65-0)),0)</f>
        <v>0</v>
      </c>
    </row>
    <row r="52" spans="1:7" x14ac:dyDescent="0.2">
      <c r="A52" s="11" t="s">
        <v>157</v>
      </c>
      <c r="B52" s="17">
        <v>0</v>
      </c>
      <c r="C52" s="17">
        <v>0</v>
      </c>
      <c r="D52" s="17">
        <v>0</v>
      </c>
      <c r="E52" s="17">
        <v>0</v>
      </c>
      <c r="F52" s="17">
        <v>0</v>
      </c>
      <c r="G52" s="18">
        <f>IF(AND(F65&lt;&gt;0,0&lt;&gt;0),IF(100*0/(F65-0)&lt;0.005,"*",100*0/(F65-0)),0)</f>
        <v>0</v>
      </c>
    </row>
    <row r="53" spans="1:7" x14ac:dyDescent="0.2">
      <c r="A53" s="11" t="s">
        <v>158</v>
      </c>
      <c r="B53" s="17">
        <v>0</v>
      </c>
      <c r="C53" s="17">
        <v>0</v>
      </c>
      <c r="D53" s="17">
        <v>0</v>
      </c>
      <c r="E53" s="17">
        <v>0</v>
      </c>
      <c r="F53" s="17">
        <v>0</v>
      </c>
      <c r="G53" s="18">
        <f>IF(AND(F65&lt;&gt;0,0&lt;&gt;0),IF(100*0/(F65-0)&lt;0.005,"*",100*0/(F65-0)),0)</f>
        <v>0</v>
      </c>
    </row>
    <row r="54" spans="1:7" x14ac:dyDescent="0.2">
      <c r="A54" s="11" t="s">
        <v>159</v>
      </c>
      <c r="B54" s="17">
        <v>0</v>
      </c>
      <c r="C54" s="17">
        <v>0</v>
      </c>
      <c r="D54" s="17">
        <v>0</v>
      </c>
      <c r="E54" s="17">
        <v>0</v>
      </c>
      <c r="F54" s="17">
        <v>106494</v>
      </c>
      <c r="G54" s="18">
        <f>IF(AND(F65&lt;&gt;0,106494&lt;&gt;0),IF(100*106494/(F65-0)&lt;0.005,"*",100*106494/(F65-0)),0)</f>
        <v>0.66542243364755327</v>
      </c>
    </row>
    <row r="55" spans="1:7" x14ac:dyDescent="0.2">
      <c r="A55" s="11" t="s">
        <v>160</v>
      </c>
      <c r="B55" s="17">
        <v>0</v>
      </c>
      <c r="C55" s="17">
        <v>15355</v>
      </c>
      <c r="D55" s="17">
        <v>0</v>
      </c>
      <c r="E55" s="17">
        <v>15355</v>
      </c>
      <c r="F55" s="17">
        <v>0</v>
      </c>
      <c r="G55" s="18">
        <f>IF(AND(F65&lt;&gt;0,0&lt;&gt;0),IF(100*0/(F65-0)&lt;0.005,"*",100*0/(F65-0)),0)</f>
        <v>0</v>
      </c>
    </row>
    <row r="56" spans="1:7" x14ac:dyDescent="0.2">
      <c r="A56" s="11" t="s">
        <v>161</v>
      </c>
      <c r="B56" s="17">
        <v>0</v>
      </c>
      <c r="C56" s="17">
        <v>0</v>
      </c>
      <c r="D56" s="17">
        <v>0</v>
      </c>
      <c r="E56" s="17">
        <v>0</v>
      </c>
      <c r="F56" s="17">
        <v>0</v>
      </c>
      <c r="G56" s="18">
        <f>IF(AND(F65&lt;&gt;0,0&lt;&gt;0),IF(100*0/(F65-0)&lt;0.005,"*",100*0/(F65-0)),0)</f>
        <v>0</v>
      </c>
    </row>
    <row r="57" spans="1:7" x14ac:dyDescent="0.2">
      <c r="A57" s="11" t="s">
        <v>162</v>
      </c>
      <c r="B57" s="17">
        <v>0</v>
      </c>
      <c r="C57" s="17">
        <v>23039</v>
      </c>
      <c r="D57" s="17">
        <v>0</v>
      </c>
      <c r="E57" s="17">
        <v>23039</v>
      </c>
      <c r="F57" s="17">
        <v>0</v>
      </c>
      <c r="G57" s="18">
        <f>IF(AND(F65&lt;&gt;0,0&lt;&gt;0),IF(100*0/(F65-0)&lt;0.005,"*",100*0/(F65-0)),0)</f>
        <v>0</v>
      </c>
    </row>
    <row r="58" spans="1:7" x14ac:dyDescent="0.2">
      <c r="A58" s="11" t="s">
        <v>163</v>
      </c>
      <c r="B58" s="17">
        <v>0</v>
      </c>
      <c r="C58" s="17">
        <v>0</v>
      </c>
      <c r="D58" s="17">
        <v>0</v>
      </c>
      <c r="E58" s="17">
        <v>0</v>
      </c>
      <c r="F58" s="17">
        <v>0</v>
      </c>
      <c r="G58" s="18">
        <f>IF(AND(F65&lt;&gt;0,0&lt;&gt;0),IF(100*0/(F65-0)&lt;0.005,"*",100*0/(F65-0)),0)</f>
        <v>0</v>
      </c>
    </row>
    <row r="59" spans="1:7" x14ac:dyDescent="0.2">
      <c r="A59" s="11" t="s">
        <v>164</v>
      </c>
      <c r="B59" s="17">
        <v>0</v>
      </c>
      <c r="C59" s="17">
        <v>243946</v>
      </c>
      <c r="D59" s="17">
        <v>0</v>
      </c>
      <c r="E59" s="17">
        <v>243946</v>
      </c>
      <c r="F59" s="17">
        <v>0</v>
      </c>
      <c r="G59" s="18">
        <f>IF(AND(F65&lt;&gt;0,0&lt;&gt;0),IF(100*0/(F65-0)&lt;0.005,"*",100*0/(F65-0)),0)</f>
        <v>0</v>
      </c>
    </row>
    <row r="60" spans="1:7" x14ac:dyDescent="0.2">
      <c r="A60" s="11" t="s">
        <v>165</v>
      </c>
      <c r="B60" s="17">
        <v>0</v>
      </c>
      <c r="C60" s="17">
        <v>1700000</v>
      </c>
      <c r="D60" s="17">
        <v>0</v>
      </c>
      <c r="E60" s="17">
        <v>1700000</v>
      </c>
      <c r="F60" s="17">
        <v>15000000</v>
      </c>
      <c r="G60" s="18">
        <f>IF(AND(F65&lt;&gt;0,15000000&lt;&gt;0),IF(100*15000000/(F65-0)&lt;0.005,"*",100*15000000/(F65-0)),0)</f>
        <v>93.726749908100928</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0</v>
      </c>
      <c r="C62" s="17">
        <v>832805</v>
      </c>
      <c r="D62" s="17">
        <v>0</v>
      </c>
      <c r="E62" s="17">
        <v>832805</v>
      </c>
      <c r="F62" s="17">
        <v>841841</v>
      </c>
      <c r="G62" s="18">
        <f>IF(AND(F65&lt;&gt;0,841841&lt;&gt;0),IF(100*841841/(F65-0)&lt;0.005,"*",100*841841/(F65-0)),0)</f>
        <v>5.2602013912923722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0</v>
      </c>
      <c r="C64" s="17">
        <v>272072</v>
      </c>
      <c r="D64" s="17">
        <v>0</v>
      </c>
      <c r="E64" s="17">
        <v>272072</v>
      </c>
      <c r="F64" s="17">
        <v>0</v>
      </c>
      <c r="G64" s="18">
        <v>0</v>
      </c>
    </row>
    <row r="65" spans="1:7" ht="15" customHeight="1" x14ac:dyDescent="0.2">
      <c r="A65" s="19" t="s">
        <v>110</v>
      </c>
      <c r="B65" s="20">
        <f>0+0+0+0+124155+0+0+0+0+157676+37943+3975+0+0+0+0+0+0+0+0+0+0+0+0+0+58535+0+0+0+0+0+0+0+0+0+0+0+0+0+0+0+0+0+652175+0+0+0+0+0+0+0+0+0+0+0+0+0+0+0+0</f>
        <v>1034459</v>
      </c>
      <c r="C65" s="20">
        <f>0+35856+0+8940+1143675+0+0+0+0+1407675+81813+93017+0+0+0+96741+0+0+1213917+0+0+0+0+0+0+82215+0+108938+0+0+0+0+0+710711+0+12305+36353+0+0+0+229665+0+0+4668739+0+0+0+0+0+15355+0+23039+0+243946+1700000+0+832805+0+272072+0</f>
        <v>13017777</v>
      </c>
      <c r="D65" s="20">
        <f>0+0+0+0+0+0+0+0+0+0+0+0+0+0+0+0+0+0+0+0+0+0+0+0+0+0+0+0+0+0+0+0+0+0+0+0+0+0+0+0+0+0+0+0+0+0+0+0+0+0+0+0+0+0+0+0+0+0+0+0</f>
        <v>0</v>
      </c>
      <c r="E65" s="20">
        <f>SUM(C65:D65)</f>
        <v>13017777</v>
      </c>
      <c r="F65" s="20">
        <f>0+0+0+0+0+0+0+0+0+0+0+0+0+0+0+0+0+0+0+0+0+0+0+0+0+0+0+0+0+0+0+0+0+0+0+0+0+0+0+0+55634+0+0+0+0+0+0+0+106494+0+0+0+0+0+15000000+0+841841+0+0+0</f>
        <v>16003969</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71"/>
  <sheetViews>
    <sheetView workbookViewId="0"/>
  </sheetViews>
  <sheetFormatPr defaultRowHeight="12.75" x14ac:dyDescent="0.2"/>
  <cols>
    <col min="1" max="1" width="30.7109375" customWidth="1"/>
    <col min="2" max="7" width="11.7109375" customWidth="1"/>
    <col min="9" max="9" width="10" bestFit="1" customWidth="1"/>
  </cols>
  <sheetData>
    <row r="1" spans="1:7" ht="38.25" customHeight="1" x14ac:dyDescent="0.2">
      <c r="A1" s="12" t="s">
        <v>374</v>
      </c>
      <c r="B1" s="10"/>
      <c r="C1" s="10"/>
      <c r="D1" s="10"/>
      <c r="E1" s="10"/>
      <c r="F1" s="10"/>
      <c r="G1" s="12" t="s">
        <v>375</v>
      </c>
    </row>
    <row r="2" spans="1:7" x14ac:dyDescent="0.2">
      <c r="A2" s="13" t="s">
        <v>376</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27">
        <v>218401</v>
      </c>
      <c r="C6" s="27">
        <v>5586</v>
      </c>
      <c r="D6" s="27">
        <v>226637</v>
      </c>
      <c r="E6" s="27">
        <v>232223</v>
      </c>
      <c r="F6" s="27">
        <v>222204</v>
      </c>
      <c r="G6" s="28">
        <v>0.95999792623443059</v>
      </c>
    </row>
    <row r="7" spans="1:7" x14ac:dyDescent="0.2">
      <c r="A7" s="11" t="s">
        <v>112</v>
      </c>
      <c r="B7" s="27">
        <v>44466</v>
      </c>
      <c r="C7" s="27">
        <v>1164</v>
      </c>
      <c r="D7" s="27">
        <v>47216</v>
      </c>
      <c r="E7" s="27">
        <v>48380</v>
      </c>
      <c r="F7" s="27">
        <v>46293</v>
      </c>
      <c r="G7" s="28">
        <v>0.20000172813797454</v>
      </c>
    </row>
    <row r="8" spans="1:7" x14ac:dyDescent="0.2">
      <c r="A8" s="11" t="s">
        <v>113</v>
      </c>
      <c r="B8" s="27">
        <v>190725</v>
      </c>
      <c r="C8" s="27">
        <v>4888</v>
      </c>
      <c r="D8" s="27">
        <v>198308</v>
      </c>
      <c r="E8" s="27">
        <v>203196</v>
      </c>
      <c r="F8" s="27">
        <v>194429</v>
      </c>
      <c r="G8" s="28">
        <v>0.84000034562759496</v>
      </c>
    </row>
    <row r="9" spans="1:7" x14ac:dyDescent="0.2">
      <c r="A9" s="11" t="s">
        <v>114</v>
      </c>
      <c r="B9" s="27">
        <v>117158</v>
      </c>
      <c r="C9" s="27">
        <v>3026</v>
      </c>
      <c r="D9" s="27">
        <v>122762</v>
      </c>
      <c r="E9" s="27">
        <v>125788</v>
      </c>
      <c r="F9" s="27">
        <v>120361</v>
      </c>
      <c r="G9" s="28">
        <v>0.52000103688278476</v>
      </c>
    </row>
    <row r="10" spans="1:7" x14ac:dyDescent="0.2">
      <c r="A10" s="11" t="s">
        <v>115</v>
      </c>
      <c r="B10" s="27">
        <v>4345675</v>
      </c>
      <c r="C10" s="27">
        <v>111665</v>
      </c>
      <c r="D10" s="27">
        <v>4530385</v>
      </c>
      <c r="E10" s="27">
        <v>4642050</v>
      </c>
      <c r="F10" s="27">
        <v>4441775</v>
      </c>
      <c r="G10" s="28">
        <v>19.190000129610347</v>
      </c>
    </row>
    <row r="11" spans="1:7" x14ac:dyDescent="0.2">
      <c r="A11" s="11" t="s">
        <v>116</v>
      </c>
      <c r="B11" s="27">
        <v>315502</v>
      </c>
      <c r="C11" s="27">
        <v>8088</v>
      </c>
      <c r="D11" s="27">
        <v>328152</v>
      </c>
      <c r="E11" s="27">
        <v>336240</v>
      </c>
      <c r="F11" s="27">
        <v>321734</v>
      </c>
      <c r="G11" s="28">
        <v>1.3900018577483226</v>
      </c>
    </row>
    <row r="12" spans="1:7" x14ac:dyDescent="0.2">
      <c r="A12" s="11" t="s">
        <v>117</v>
      </c>
      <c r="B12" s="27">
        <v>447982</v>
      </c>
      <c r="C12" s="27">
        <v>11521</v>
      </c>
      <c r="D12" s="27">
        <v>467439</v>
      </c>
      <c r="E12" s="27">
        <v>478960</v>
      </c>
      <c r="F12" s="27">
        <v>458297</v>
      </c>
      <c r="G12" s="28">
        <v>1.9800011232896835</v>
      </c>
    </row>
    <row r="13" spans="1:7" x14ac:dyDescent="0.2">
      <c r="A13" s="11" t="s">
        <v>118</v>
      </c>
      <c r="B13" s="27">
        <v>44245</v>
      </c>
      <c r="C13" s="27">
        <v>1164</v>
      </c>
      <c r="D13" s="27">
        <v>47216</v>
      </c>
      <c r="E13" s="27">
        <v>48380</v>
      </c>
      <c r="F13" s="27">
        <v>46293</v>
      </c>
      <c r="G13" s="28">
        <v>0.20000172813797454</v>
      </c>
    </row>
    <row r="14" spans="1:7" x14ac:dyDescent="0.2">
      <c r="A14" s="11" t="s">
        <v>119</v>
      </c>
      <c r="B14" s="27">
        <v>237478</v>
      </c>
      <c r="C14" s="27">
        <v>6110</v>
      </c>
      <c r="D14" s="27">
        <v>247885</v>
      </c>
      <c r="E14" s="27">
        <v>253995</v>
      </c>
      <c r="F14" s="27">
        <v>243036</v>
      </c>
      <c r="G14" s="28">
        <v>1.0499993519482596</v>
      </c>
    </row>
    <row r="15" spans="1:7" x14ac:dyDescent="0.2">
      <c r="A15" s="11" t="s">
        <v>120</v>
      </c>
      <c r="B15" s="27">
        <v>1060588</v>
      </c>
      <c r="C15" s="27">
        <v>27232</v>
      </c>
      <c r="D15" s="27">
        <v>1104857</v>
      </c>
      <c r="E15" s="27">
        <v>1132089</v>
      </c>
      <c r="F15" s="27">
        <v>1083247</v>
      </c>
      <c r="G15" s="28">
        <v>4.6800006912551897</v>
      </c>
    </row>
    <row r="16" spans="1:7" x14ac:dyDescent="0.2">
      <c r="A16" s="11" t="s">
        <v>121</v>
      </c>
      <c r="B16" s="27">
        <v>542274</v>
      </c>
      <c r="C16" s="27">
        <v>13907</v>
      </c>
      <c r="D16" s="27">
        <v>564232</v>
      </c>
      <c r="E16" s="27">
        <v>578139</v>
      </c>
      <c r="F16" s="27">
        <v>553197</v>
      </c>
      <c r="G16" s="28">
        <v>2.3900018577483224</v>
      </c>
    </row>
    <row r="17" spans="1:7" x14ac:dyDescent="0.2">
      <c r="A17" s="11" t="s">
        <v>122</v>
      </c>
      <c r="B17" s="27">
        <v>140616</v>
      </c>
      <c r="C17" s="27">
        <v>3608</v>
      </c>
      <c r="D17" s="27">
        <v>146370</v>
      </c>
      <c r="E17" s="27">
        <v>149978</v>
      </c>
      <c r="F17" s="27">
        <v>143507</v>
      </c>
      <c r="G17" s="28">
        <v>0.61999974077930387</v>
      </c>
    </row>
    <row r="18" spans="1:7" x14ac:dyDescent="0.2">
      <c r="A18" s="11" t="s">
        <v>123</v>
      </c>
      <c r="B18" s="27">
        <v>41837</v>
      </c>
      <c r="C18" s="27">
        <v>1047</v>
      </c>
      <c r="D18" s="27">
        <v>42494</v>
      </c>
      <c r="E18" s="27">
        <v>43541</v>
      </c>
      <c r="F18" s="27">
        <v>41663</v>
      </c>
      <c r="G18" s="28">
        <v>0.17999853108272165</v>
      </c>
    </row>
    <row r="19" spans="1:7" x14ac:dyDescent="0.2">
      <c r="A19" s="11" t="s">
        <v>124</v>
      </c>
      <c r="B19" s="27">
        <v>1030284</v>
      </c>
      <c r="C19" s="27">
        <v>26476</v>
      </c>
      <c r="D19" s="27">
        <v>1074166</v>
      </c>
      <c r="E19" s="27">
        <v>1100642</v>
      </c>
      <c r="F19" s="27">
        <v>1053157</v>
      </c>
      <c r="G19" s="28">
        <v>4.550001512120728</v>
      </c>
    </row>
    <row r="20" spans="1:7" x14ac:dyDescent="0.2">
      <c r="A20" s="11" t="s">
        <v>125</v>
      </c>
      <c r="B20" s="27">
        <v>239526</v>
      </c>
      <c r="C20" s="27">
        <v>6168</v>
      </c>
      <c r="D20" s="27">
        <v>250245</v>
      </c>
      <c r="E20" s="27">
        <v>256413</v>
      </c>
      <c r="F20" s="27">
        <v>245351</v>
      </c>
      <c r="G20" s="28">
        <v>1.0600009504758861</v>
      </c>
    </row>
    <row r="21" spans="1:7" x14ac:dyDescent="0.2">
      <c r="A21" s="11" t="s">
        <v>126</v>
      </c>
      <c r="B21" s="27">
        <v>107955</v>
      </c>
      <c r="C21" s="27">
        <v>2793</v>
      </c>
      <c r="D21" s="27">
        <v>113319</v>
      </c>
      <c r="E21" s="27">
        <v>116112</v>
      </c>
      <c r="F21" s="27">
        <v>111102</v>
      </c>
      <c r="G21" s="28">
        <v>0.47999896311721529</v>
      </c>
    </row>
    <row r="22" spans="1:7" x14ac:dyDescent="0.2">
      <c r="A22" s="11" t="s">
        <v>127</v>
      </c>
      <c r="B22" s="27">
        <v>73203</v>
      </c>
      <c r="C22" s="27">
        <v>1862</v>
      </c>
      <c r="D22" s="27">
        <v>75546</v>
      </c>
      <c r="E22" s="27">
        <v>77408</v>
      </c>
      <c r="F22" s="27">
        <v>74068</v>
      </c>
      <c r="G22" s="28">
        <v>0.3199993087448102</v>
      </c>
    </row>
    <row r="23" spans="1:7" x14ac:dyDescent="0.2">
      <c r="A23" s="11" t="s">
        <v>128</v>
      </c>
      <c r="B23" s="27">
        <v>222453</v>
      </c>
      <c r="C23" s="27">
        <v>5703</v>
      </c>
      <c r="D23" s="27">
        <v>231359</v>
      </c>
      <c r="E23" s="27">
        <v>237062</v>
      </c>
      <c r="F23" s="27">
        <v>226834</v>
      </c>
      <c r="G23" s="28">
        <v>0.98000112328968347</v>
      </c>
    </row>
    <row r="24" spans="1:7" x14ac:dyDescent="0.2">
      <c r="A24" s="11" t="s">
        <v>129</v>
      </c>
      <c r="B24" s="27">
        <v>378527</v>
      </c>
      <c r="C24" s="27">
        <v>9718</v>
      </c>
      <c r="D24" s="27">
        <v>394254</v>
      </c>
      <c r="E24" s="27">
        <v>403972</v>
      </c>
      <c r="F24" s="27">
        <v>386543</v>
      </c>
      <c r="G24" s="28">
        <v>1.6699990927275634</v>
      </c>
    </row>
    <row r="25" spans="1:7" x14ac:dyDescent="0.2">
      <c r="A25" s="11" t="s">
        <v>130</v>
      </c>
      <c r="B25" s="27">
        <v>94924</v>
      </c>
      <c r="C25" s="27">
        <v>2444</v>
      </c>
      <c r="D25" s="27">
        <v>99154</v>
      </c>
      <c r="E25" s="27">
        <v>101598</v>
      </c>
      <c r="F25" s="27">
        <v>97214</v>
      </c>
      <c r="G25" s="28">
        <v>0.4199980126413293</v>
      </c>
    </row>
    <row r="26" spans="1:7" x14ac:dyDescent="0.2">
      <c r="A26" s="11" t="s">
        <v>131</v>
      </c>
      <c r="B26" s="27">
        <v>650651</v>
      </c>
      <c r="C26" s="27">
        <v>16700</v>
      </c>
      <c r="D26" s="27">
        <v>677551</v>
      </c>
      <c r="E26" s="27">
        <v>694251</v>
      </c>
      <c r="F26" s="27">
        <v>664299</v>
      </c>
      <c r="G26" s="28">
        <v>2.8700008208655379</v>
      </c>
    </row>
    <row r="27" spans="1:7" x14ac:dyDescent="0.2">
      <c r="A27" s="11" t="s">
        <v>132</v>
      </c>
      <c r="B27" s="27">
        <v>1244315</v>
      </c>
      <c r="C27" s="27">
        <v>32004</v>
      </c>
      <c r="D27" s="27">
        <v>1298443</v>
      </c>
      <c r="E27" s="27">
        <v>1330447</v>
      </c>
      <c r="F27" s="27">
        <v>1273047</v>
      </c>
      <c r="G27" s="28">
        <v>5.5000021601724685</v>
      </c>
    </row>
    <row r="28" spans="1:7" x14ac:dyDescent="0.2">
      <c r="A28" s="11" t="s">
        <v>133</v>
      </c>
      <c r="B28" s="27">
        <v>391849</v>
      </c>
      <c r="C28" s="27">
        <v>10067</v>
      </c>
      <c r="D28" s="27">
        <v>408419</v>
      </c>
      <c r="E28" s="27">
        <v>418486</v>
      </c>
      <c r="F28" s="27">
        <v>400431</v>
      </c>
      <c r="G28" s="28">
        <v>1.7300000432034495</v>
      </c>
    </row>
    <row r="29" spans="1:7" x14ac:dyDescent="0.2">
      <c r="A29" s="11" t="s">
        <v>134</v>
      </c>
      <c r="B29" s="27">
        <v>261666</v>
      </c>
      <c r="C29" s="27">
        <v>6750</v>
      </c>
      <c r="D29" s="27">
        <v>273853</v>
      </c>
      <c r="E29" s="27">
        <v>280603</v>
      </c>
      <c r="F29" s="27">
        <v>268497</v>
      </c>
      <c r="G29" s="28">
        <v>1.1599996543724052</v>
      </c>
    </row>
    <row r="30" spans="1:7" x14ac:dyDescent="0.2">
      <c r="A30" s="11" t="s">
        <v>135</v>
      </c>
      <c r="B30" s="27">
        <v>173011</v>
      </c>
      <c r="C30" s="27">
        <v>4422</v>
      </c>
      <c r="D30" s="27">
        <v>179421</v>
      </c>
      <c r="E30" s="27">
        <v>183843</v>
      </c>
      <c r="F30" s="27">
        <v>175912</v>
      </c>
      <c r="G30" s="28">
        <v>0.76000051844139238</v>
      </c>
    </row>
    <row r="31" spans="1:7" x14ac:dyDescent="0.2">
      <c r="A31" s="11" t="s">
        <v>136</v>
      </c>
      <c r="B31" s="27">
        <v>271724</v>
      </c>
      <c r="C31" s="27">
        <v>6983</v>
      </c>
      <c r="D31" s="27">
        <v>283297</v>
      </c>
      <c r="E31" s="27">
        <v>290280</v>
      </c>
      <c r="F31" s="27">
        <v>277756</v>
      </c>
      <c r="G31" s="28">
        <v>1.2000017281379745</v>
      </c>
    </row>
    <row r="32" spans="1:7" x14ac:dyDescent="0.2">
      <c r="A32" s="11" t="s">
        <v>137</v>
      </c>
      <c r="B32" s="27">
        <v>37111</v>
      </c>
      <c r="C32" s="27">
        <v>931</v>
      </c>
      <c r="D32" s="27">
        <v>37773</v>
      </c>
      <c r="E32" s="27">
        <v>38704</v>
      </c>
      <c r="F32" s="27">
        <v>37034</v>
      </c>
      <c r="G32" s="28">
        <v>0.1599996543724051</v>
      </c>
    </row>
    <row r="33" spans="1:7" x14ac:dyDescent="0.2">
      <c r="A33" s="11" t="s">
        <v>138</v>
      </c>
      <c r="B33" s="27">
        <v>76001</v>
      </c>
      <c r="C33" s="27">
        <v>1978</v>
      </c>
      <c r="D33" s="27">
        <v>80267</v>
      </c>
      <c r="E33" s="27">
        <v>82245</v>
      </c>
      <c r="F33" s="27">
        <v>78697</v>
      </c>
      <c r="G33" s="28">
        <v>0.33999818545512672</v>
      </c>
    </row>
    <row r="34" spans="1:7" x14ac:dyDescent="0.2">
      <c r="A34" s="11" t="s">
        <v>139</v>
      </c>
      <c r="B34" s="27">
        <v>144515</v>
      </c>
      <c r="C34" s="27">
        <v>3724</v>
      </c>
      <c r="D34" s="27">
        <v>151092</v>
      </c>
      <c r="E34" s="27">
        <v>154816</v>
      </c>
      <c r="F34" s="27">
        <v>148136</v>
      </c>
      <c r="G34" s="28">
        <v>0.63999861748962039</v>
      </c>
    </row>
    <row r="35" spans="1:7" x14ac:dyDescent="0.2">
      <c r="A35" s="11" t="s">
        <v>140</v>
      </c>
      <c r="B35" s="27">
        <v>96412</v>
      </c>
      <c r="C35" s="27">
        <v>2502</v>
      </c>
      <c r="D35" s="27">
        <v>101515</v>
      </c>
      <c r="E35" s="27">
        <v>104017</v>
      </c>
      <c r="F35" s="27">
        <v>99529</v>
      </c>
      <c r="G35" s="28">
        <v>0.42999961116895574</v>
      </c>
    </row>
    <row r="36" spans="1:7" x14ac:dyDescent="0.2">
      <c r="A36" s="11" t="s">
        <v>141</v>
      </c>
      <c r="B36" s="27">
        <v>829900</v>
      </c>
      <c r="C36" s="27">
        <v>21355</v>
      </c>
      <c r="D36" s="27">
        <v>866415</v>
      </c>
      <c r="E36" s="27">
        <v>887770</v>
      </c>
      <c r="F36" s="27">
        <v>849469</v>
      </c>
      <c r="G36" s="28">
        <v>3.6699990927275632</v>
      </c>
    </row>
    <row r="37" spans="1:7" x14ac:dyDescent="0.2">
      <c r="A37" s="11" t="s">
        <v>142</v>
      </c>
      <c r="B37" s="27">
        <v>85321</v>
      </c>
      <c r="C37" s="27">
        <v>2211</v>
      </c>
      <c r="D37" s="27">
        <v>89711</v>
      </c>
      <c r="E37" s="27">
        <v>91922</v>
      </c>
      <c r="F37" s="27">
        <v>87956</v>
      </c>
      <c r="G37" s="28">
        <v>0.38000025922069619</v>
      </c>
    </row>
    <row r="38" spans="1:7" x14ac:dyDescent="0.2">
      <c r="A38" s="11" t="s">
        <v>143</v>
      </c>
      <c r="B38" s="27">
        <v>2745691</v>
      </c>
      <c r="C38" s="27">
        <v>70583</v>
      </c>
      <c r="D38" s="27">
        <v>2863656</v>
      </c>
      <c r="E38" s="27">
        <v>2934239</v>
      </c>
      <c r="F38" s="27">
        <v>2807646</v>
      </c>
      <c r="G38" s="28">
        <v>12.129999179134462</v>
      </c>
    </row>
    <row r="39" spans="1:7" x14ac:dyDescent="0.2">
      <c r="A39" s="11" t="s">
        <v>144</v>
      </c>
      <c r="B39" s="27">
        <v>415730</v>
      </c>
      <c r="C39" s="27">
        <v>10707</v>
      </c>
      <c r="D39" s="27">
        <v>434388</v>
      </c>
      <c r="E39" s="27">
        <v>445095</v>
      </c>
      <c r="F39" s="27">
        <v>425892</v>
      </c>
      <c r="G39" s="28">
        <v>1.8400003456275948</v>
      </c>
    </row>
    <row r="40" spans="1:7" x14ac:dyDescent="0.2">
      <c r="A40" s="11" t="s">
        <v>145</v>
      </c>
      <c r="B40" s="27">
        <v>41810</v>
      </c>
      <c r="C40" s="27">
        <v>1047</v>
      </c>
      <c r="D40" s="27">
        <v>42494</v>
      </c>
      <c r="E40" s="27">
        <v>43541</v>
      </c>
      <c r="F40" s="27">
        <v>41663</v>
      </c>
      <c r="G40" s="28">
        <v>0.17999853108272165</v>
      </c>
    </row>
    <row r="41" spans="1:7" x14ac:dyDescent="0.2">
      <c r="A41" s="11" t="s">
        <v>146</v>
      </c>
      <c r="B41" s="27">
        <v>610747</v>
      </c>
      <c r="C41" s="27">
        <v>15711</v>
      </c>
      <c r="D41" s="27">
        <v>637417</v>
      </c>
      <c r="E41" s="27">
        <v>653128</v>
      </c>
      <c r="F41" s="27">
        <v>624950</v>
      </c>
      <c r="G41" s="28">
        <v>2.6999995679655062</v>
      </c>
    </row>
    <row r="42" spans="1:7" x14ac:dyDescent="0.2">
      <c r="A42" s="11" t="s">
        <v>147</v>
      </c>
      <c r="B42" s="27">
        <v>145298</v>
      </c>
      <c r="C42" s="27">
        <v>3724</v>
      </c>
      <c r="D42" s="27">
        <v>151092</v>
      </c>
      <c r="E42" s="27">
        <v>154816</v>
      </c>
      <c r="F42" s="27">
        <v>148136</v>
      </c>
      <c r="G42" s="28">
        <v>0.63999861748962039</v>
      </c>
    </row>
    <row r="43" spans="1:7" x14ac:dyDescent="0.2">
      <c r="A43" s="11" t="s">
        <v>148</v>
      </c>
      <c r="B43" s="27">
        <v>295702</v>
      </c>
      <c r="C43" s="27">
        <v>7623</v>
      </c>
      <c r="D43" s="27">
        <v>309265</v>
      </c>
      <c r="E43" s="27">
        <v>316888</v>
      </c>
      <c r="F43" s="27">
        <v>303217</v>
      </c>
      <c r="G43" s="28">
        <v>1.3100020305621201</v>
      </c>
    </row>
    <row r="44" spans="1:7" x14ac:dyDescent="0.2">
      <c r="A44" s="11" t="s">
        <v>149</v>
      </c>
      <c r="B44" s="27">
        <v>676813</v>
      </c>
      <c r="C44" s="27">
        <v>17399</v>
      </c>
      <c r="D44" s="27">
        <v>705881</v>
      </c>
      <c r="E44" s="27">
        <v>723280</v>
      </c>
      <c r="F44" s="27">
        <v>692074</v>
      </c>
      <c r="G44" s="28">
        <v>2.9899984014723735</v>
      </c>
    </row>
    <row r="45" spans="1:7" x14ac:dyDescent="0.2">
      <c r="A45" s="11" t="s">
        <v>150</v>
      </c>
      <c r="B45" s="27">
        <v>88239</v>
      </c>
      <c r="C45" s="27">
        <v>2269</v>
      </c>
      <c r="D45" s="27">
        <v>92071</v>
      </c>
      <c r="E45" s="27">
        <v>94340</v>
      </c>
      <c r="F45" s="27">
        <v>90271</v>
      </c>
      <c r="G45" s="28">
        <v>0.39000185774832263</v>
      </c>
    </row>
    <row r="46" spans="1:7" x14ac:dyDescent="0.2">
      <c r="A46" s="11" t="s">
        <v>151</v>
      </c>
      <c r="B46" s="27">
        <v>178234</v>
      </c>
      <c r="C46" s="27">
        <v>4597</v>
      </c>
      <c r="D46" s="27">
        <v>186504</v>
      </c>
      <c r="E46" s="27">
        <v>191101</v>
      </c>
      <c r="F46" s="27">
        <v>182856</v>
      </c>
      <c r="G46" s="28">
        <v>0.79000099367933541</v>
      </c>
    </row>
    <row r="47" spans="1:7" x14ac:dyDescent="0.2">
      <c r="A47" s="11" t="s">
        <v>152</v>
      </c>
      <c r="B47" s="27">
        <v>33403</v>
      </c>
      <c r="C47" s="27">
        <v>874</v>
      </c>
      <c r="D47" s="27">
        <v>35412</v>
      </c>
      <c r="E47" s="27">
        <v>36286</v>
      </c>
      <c r="F47" s="27">
        <v>34719</v>
      </c>
      <c r="G47" s="28">
        <v>0.14999805584477865</v>
      </c>
    </row>
    <row r="48" spans="1:7" x14ac:dyDescent="0.2">
      <c r="A48" s="11" t="s">
        <v>153</v>
      </c>
      <c r="B48" s="27">
        <v>254293</v>
      </c>
      <c r="C48" s="27">
        <v>6517</v>
      </c>
      <c r="D48" s="27">
        <v>264410</v>
      </c>
      <c r="E48" s="27">
        <v>270927</v>
      </c>
      <c r="F48" s="27">
        <v>259239</v>
      </c>
      <c r="G48" s="28">
        <v>1.1200019009517721</v>
      </c>
    </row>
    <row r="49" spans="1:7" x14ac:dyDescent="0.2">
      <c r="A49" s="11" t="s">
        <v>154</v>
      </c>
      <c r="B49" s="27">
        <v>1241178</v>
      </c>
      <c r="C49" s="27">
        <v>31888</v>
      </c>
      <c r="D49" s="27">
        <v>1293721</v>
      </c>
      <c r="E49" s="27">
        <v>1325609</v>
      </c>
      <c r="F49" s="27">
        <v>1268417</v>
      </c>
      <c r="G49" s="28">
        <v>5.4799989631172155</v>
      </c>
    </row>
    <row r="50" spans="1:7" x14ac:dyDescent="0.2">
      <c r="A50" s="11" t="s">
        <v>155</v>
      </c>
      <c r="B50" s="27">
        <v>84623</v>
      </c>
      <c r="C50" s="27">
        <v>2153</v>
      </c>
      <c r="D50" s="27">
        <v>87350</v>
      </c>
      <c r="E50" s="27">
        <v>89503</v>
      </c>
      <c r="F50" s="27">
        <v>85641</v>
      </c>
      <c r="G50" s="28">
        <v>0.36999866069306975</v>
      </c>
    </row>
    <row r="51" spans="1:7" x14ac:dyDescent="0.2">
      <c r="A51" s="11" t="s">
        <v>156</v>
      </c>
      <c r="B51" s="27">
        <v>62316</v>
      </c>
      <c r="C51" s="27">
        <v>1629</v>
      </c>
      <c r="D51" s="27">
        <v>66103</v>
      </c>
      <c r="E51" s="27">
        <v>67732</v>
      </c>
      <c r="F51" s="27">
        <v>64810</v>
      </c>
      <c r="G51" s="28">
        <v>0.28000155532417709</v>
      </c>
    </row>
    <row r="52" spans="1:7" x14ac:dyDescent="0.2">
      <c r="A52" s="11" t="s">
        <v>157</v>
      </c>
      <c r="B52" s="27">
        <v>454856</v>
      </c>
      <c r="C52" s="27">
        <v>11696</v>
      </c>
      <c r="D52" s="27">
        <v>474522</v>
      </c>
      <c r="E52" s="27">
        <v>486218</v>
      </c>
      <c r="F52" s="27">
        <v>465241</v>
      </c>
      <c r="G52" s="28">
        <v>2.0100015985276265</v>
      </c>
    </row>
    <row r="53" spans="1:7" x14ac:dyDescent="0.2">
      <c r="A53" s="11" t="s">
        <v>158</v>
      </c>
      <c r="B53" s="27">
        <v>641386</v>
      </c>
      <c r="C53" s="27">
        <v>16468</v>
      </c>
      <c r="D53" s="27">
        <v>668108</v>
      </c>
      <c r="E53" s="27">
        <v>684576</v>
      </c>
      <c r="F53" s="27">
        <v>655040</v>
      </c>
      <c r="G53" s="28">
        <v>2.8299987470999683</v>
      </c>
    </row>
    <row r="54" spans="1:7" x14ac:dyDescent="0.2">
      <c r="A54" s="11" t="s">
        <v>159</v>
      </c>
      <c r="B54" s="27">
        <v>80993</v>
      </c>
      <c r="C54" s="27">
        <v>2095</v>
      </c>
      <c r="D54" s="27">
        <v>84989</v>
      </c>
      <c r="E54" s="27">
        <v>87084</v>
      </c>
      <c r="F54" s="27">
        <v>83327</v>
      </c>
      <c r="G54" s="28">
        <v>0.36000138251037961</v>
      </c>
    </row>
    <row r="55" spans="1:7" x14ac:dyDescent="0.2">
      <c r="A55" s="11" t="s">
        <v>160</v>
      </c>
      <c r="B55" s="27">
        <v>170477</v>
      </c>
      <c r="C55" s="27">
        <v>4364</v>
      </c>
      <c r="D55" s="27">
        <v>177060</v>
      </c>
      <c r="E55" s="27">
        <v>181424</v>
      </c>
      <c r="F55" s="27">
        <v>173597</v>
      </c>
      <c r="G55" s="28">
        <v>0.74999891991376588</v>
      </c>
    </row>
    <row r="56" spans="1:7" x14ac:dyDescent="0.2">
      <c r="A56" s="11" t="s">
        <v>161</v>
      </c>
      <c r="B56" s="27">
        <v>15766</v>
      </c>
      <c r="C56" s="27">
        <v>407</v>
      </c>
      <c r="D56" s="27">
        <v>16526</v>
      </c>
      <c r="E56" s="27">
        <v>16933</v>
      </c>
      <c r="F56" s="27">
        <v>16202</v>
      </c>
      <c r="G56" s="28">
        <v>6.9998228658576106E-2</v>
      </c>
    </row>
    <row r="57" spans="1:7" x14ac:dyDescent="0.2">
      <c r="A57" s="11" t="s">
        <v>162</v>
      </c>
      <c r="B57" s="27">
        <v>0</v>
      </c>
      <c r="C57" s="27">
        <v>0</v>
      </c>
      <c r="D57" s="27">
        <v>0</v>
      </c>
      <c r="E57" s="27">
        <v>0</v>
      </c>
      <c r="F57" s="27">
        <v>0</v>
      </c>
      <c r="G57" s="28">
        <v>0</v>
      </c>
    </row>
    <row r="58" spans="1:7" x14ac:dyDescent="0.2">
      <c r="A58" s="11" t="s">
        <v>163</v>
      </c>
      <c r="B58" s="27">
        <v>28837</v>
      </c>
      <c r="C58" s="27">
        <v>756</v>
      </c>
      <c r="D58" s="27">
        <v>30690</v>
      </c>
      <c r="E58" s="27">
        <v>31446</v>
      </c>
      <c r="F58" s="27">
        <v>30090</v>
      </c>
      <c r="G58" s="28">
        <v>0.1299991791344621</v>
      </c>
    </row>
    <row r="59" spans="1:7" x14ac:dyDescent="0.2">
      <c r="A59" s="11" t="s">
        <v>164</v>
      </c>
      <c r="B59" s="27">
        <v>2815</v>
      </c>
      <c r="C59" s="27">
        <v>59</v>
      </c>
      <c r="D59" s="27">
        <v>2361</v>
      </c>
      <c r="E59" s="27">
        <v>2420</v>
      </c>
      <c r="F59" s="27">
        <v>2315</v>
      </c>
      <c r="G59" s="28">
        <v>1.0001598527626446E-2</v>
      </c>
    </row>
    <row r="60" spans="1:7" x14ac:dyDescent="0.2">
      <c r="A60" s="11" t="s">
        <v>165</v>
      </c>
      <c r="B60" s="27">
        <v>199606</v>
      </c>
      <c r="C60" s="27">
        <v>5121</v>
      </c>
      <c r="D60" s="27">
        <v>207751</v>
      </c>
      <c r="E60" s="27">
        <v>212872</v>
      </c>
      <c r="F60" s="27">
        <v>203687</v>
      </c>
      <c r="G60" s="28">
        <v>0.87999809904822801</v>
      </c>
    </row>
    <row r="61" spans="1:7" x14ac:dyDescent="0.2">
      <c r="A61" s="11" t="s">
        <v>166</v>
      </c>
      <c r="B61" s="27">
        <v>0</v>
      </c>
      <c r="C61" s="27">
        <v>0</v>
      </c>
      <c r="D61" s="27">
        <v>0</v>
      </c>
      <c r="E61" s="27">
        <v>0</v>
      </c>
      <c r="F61" s="27">
        <v>0</v>
      </c>
      <c r="G61" s="28">
        <v>0</v>
      </c>
    </row>
    <row r="62" spans="1:7" x14ac:dyDescent="0.2">
      <c r="A62" s="11" t="s">
        <v>167</v>
      </c>
      <c r="B62" s="27">
        <v>14998</v>
      </c>
      <c r="C62" s="27">
        <v>407</v>
      </c>
      <c r="D62" s="27">
        <v>16526</v>
      </c>
      <c r="E62" s="27">
        <v>16933</v>
      </c>
      <c r="F62" s="27">
        <v>16202</v>
      </c>
      <c r="G62" s="28">
        <v>6.9998228658576106E-2</v>
      </c>
    </row>
    <row r="63" spans="1:7" x14ac:dyDescent="0.2">
      <c r="A63" s="11" t="s">
        <v>168</v>
      </c>
      <c r="B63" s="27">
        <v>0</v>
      </c>
      <c r="C63" s="27">
        <v>0</v>
      </c>
      <c r="D63" s="27">
        <v>0</v>
      </c>
      <c r="E63" s="27">
        <v>0</v>
      </c>
      <c r="F63" s="27">
        <v>0</v>
      </c>
      <c r="G63" s="28">
        <v>0</v>
      </c>
    </row>
    <row r="64" spans="1:7" ht="15" x14ac:dyDescent="0.2">
      <c r="A64" s="11" t="s">
        <v>169</v>
      </c>
      <c r="B64" s="27">
        <v>0</v>
      </c>
      <c r="C64" s="29" t="s">
        <v>377</v>
      </c>
      <c r="D64" s="29" t="s">
        <v>378</v>
      </c>
      <c r="E64" s="27">
        <v>594965</v>
      </c>
      <c r="F64" s="29" t="s">
        <v>379</v>
      </c>
      <c r="G64" s="28">
        <v>0</v>
      </c>
    </row>
    <row r="65" spans="1:7" ht="15" customHeight="1" x14ac:dyDescent="0.2">
      <c r="A65" s="30" t="s">
        <v>110</v>
      </c>
      <c r="B65" s="31">
        <f>218401+44466+190725+117158+4345675+315502+447982+44245+237478+1060588+542274+140616+41837+1030284+239526+107955+73203+222453+378527+94924+650651+1244315+391849+261666+173011+271724+37111+76001+144515+96412+829900+85321+2745691+415730+41810+610747+145298+295702+676813+88239+178234+33403+254293+1241178+84623+62316+454856+641386+80993+170477+15766+0+28837+2815+199606+0+14998+0+0+0</f>
        <v>22640106</v>
      </c>
      <c r="C65" s="31">
        <f>5586+1164+4888+3026+111665+8088+11521+1164+6110+27232+13907+3608+1047+26476+6168+2793+1862+5703+9718+2444+16700+32004+10067+6750+4422+6983+931+1978+3724+2502+21355+2211+70583+10707+1047+15711+3724+7623+17399+2269+4597+874+6517+31888+2153+1629+11696+16468+2095+4364+407+0+756+59+5121+0+407+0+276474+0</f>
        <v>858365</v>
      </c>
      <c r="D65" s="31">
        <f>226637+47216+198308+122762+4530385+328152+467439+47216+247885+1104857+564232+146370+42494+1074166+250245+113319+75546+231359+394254+99154+677551+1298443+408419+273853+179421+283297+37773+80267+151092+101515+866415+89711+2863656+434388+42494+637417+151092+309265+705881+92071+186504+35412+264410+1293721+87350+66103+474522+668108+84989+177060+16526+0+30690+2361+207751+0+16526+0+318491+0</f>
        <v>23926541</v>
      </c>
      <c r="E65" s="31">
        <f>SUM(C65:D65)</f>
        <v>24784906</v>
      </c>
      <c r="F65" s="33" t="s">
        <v>441</v>
      </c>
      <c r="G65" s="32" t="s">
        <v>416</v>
      </c>
    </row>
    <row r="66" spans="1:7" ht="15" customHeight="1" x14ac:dyDescent="0.2">
      <c r="A66" s="74" t="s">
        <v>171</v>
      </c>
      <c r="B66" s="74"/>
      <c r="C66" s="74"/>
      <c r="D66" s="74"/>
      <c r="E66" s="74"/>
      <c r="F66" s="74"/>
      <c r="G66" s="74"/>
    </row>
    <row r="67" spans="1:7" ht="55.5" customHeight="1" x14ac:dyDescent="0.2">
      <c r="A67" s="67" t="s">
        <v>380</v>
      </c>
      <c r="B67" s="67"/>
      <c r="C67" s="67"/>
      <c r="D67" s="67"/>
      <c r="E67" s="67"/>
      <c r="F67" s="67"/>
      <c r="G67" s="67"/>
    </row>
    <row r="68" spans="1:7" ht="30.75" customHeight="1" x14ac:dyDescent="0.2">
      <c r="A68" s="67" t="s">
        <v>381</v>
      </c>
      <c r="B68" s="67"/>
      <c r="C68" s="67"/>
      <c r="D68" s="67"/>
      <c r="E68" s="67"/>
      <c r="F68" s="67"/>
      <c r="G68" s="67"/>
    </row>
    <row r="69" spans="1:7" ht="15" x14ac:dyDescent="0.2">
      <c r="A69" s="67" t="s">
        <v>382</v>
      </c>
      <c r="B69" s="67"/>
      <c r="C69" s="67"/>
      <c r="D69" s="67"/>
      <c r="E69" s="67"/>
      <c r="F69" s="67"/>
      <c r="G69" s="67"/>
    </row>
    <row r="70" spans="1:7" ht="30" customHeight="1" x14ac:dyDescent="0.2">
      <c r="A70" s="67" t="s">
        <v>439</v>
      </c>
      <c r="B70" s="67"/>
      <c r="C70" s="67"/>
      <c r="D70" s="67"/>
      <c r="E70" s="67"/>
      <c r="F70" s="67"/>
      <c r="G70" s="67"/>
    </row>
    <row r="71" spans="1:7" ht="15" customHeight="1" x14ac:dyDescent="0.2">
      <c r="A71" s="67" t="s">
        <v>421</v>
      </c>
      <c r="B71" s="67"/>
      <c r="C71" s="67"/>
      <c r="D71" s="67"/>
      <c r="E71" s="67"/>
      <c r="F71" s="67"/>
      <c r="G71" s="67"/>
    </row>
  </sheetData>
  <mergeCells count="10">
    <mergeCell ref="A70:G70"/>
    <mergeCell ref="A71:G71"/>
    <mergeCell ref="A67:G67"/>
    <mergeCell ref="A68:G68"/>
    <mergeCell ref="A69:G69"/>
    <mergeCell ref="A4:A5"/>
    <mergeCell ref="B4:B5"/>
    <mergeCell ref="F4:F5"/>
    <mergeCell ref="G4:G5"/>
    <mergeCell ref="A66:G66"/>
  </mergeCells>
  <pageMargins left="0.7" right="0.7" top="0.75" bottom="0.75" header="0.3" footer="0.3"/>
  <pageSetup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2" t="s">
        <v>374</v>
      </c>
      <c r="B1" s="10"/>
      <c r="C1" s="10"/>
      <c r="D1" s="10"/>
      <c r="E1" s="10"/>
      <c r="F1" s="10"/>
      <c r="G1" s="12" t="s">
        <v>383</v>
      </c>
    </row>
    <row r="2" spans="1:7" x14ac:dyDescent="0.2">
      <c r="A2" s="13" t="s">
        <v>384</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143280</v>
      </c>
      <c r="C6" s="17">
        <v>2316</v>
      </c>
      <c r="D6" s="17">
        <v>131888</v>
      </c>
      <c r="E6" s="17">
        <v>134204</v>
      </c>
      <c r="F6" s="17">
        <v>120259</v>
      </c>
      <c r="G6" s="18">
        <v>2.939599120019555</v>
      </c>
    </row>
    <row r="7" spans="1:7" x14ac:dyDescent="0.2">
      <c r="A7" s="11" t="s">
        <v>112</v>
      </c>
      <c r="B7" s="17">
        <v>9491</v>
      </c>
      <c r="C7" s="17">
        <v>153</v>
      </c>
      <c r="D7" s="17">
        <v>8736</v>
      </c>
      <c r="E7" s="17">
        <v>8889</v>
      </c>
      <c r="F7" s="17">
        <v>7966</v>
      </c>
      <c r="G7" s="18">
        <v>0.19472011733072597</v>
      </c>
    </row>
    <row r="8" spans="1:7" x14ac:dyDescent="0.2">
      <c r="A8" s="11" t="s">
        <v>113</v>
      </c>
      <c r="B8" s="17">
        <v>21937</v>
      </c>
      <c r="C8" s="17">
        <v>355</v>
      </c>
      <c r="D8" s="17">
        <v>20193</v>
      </c>
      <c r="E8" s="17">
        <v>20548</v>
      </c>
      <c r="F8" s="17">
        <v>18413</v>
      </c>
      <c r="G8" s="18">
        <v>0.45008555365436326</v>
      </c>
    </row>
    <row r="9" spans="1:7" x14ac:dyDescent="0.2">
      <c r="A9" s="11" t="s">
        <v>114</v>
      </c>
      <c r="B9" s="17">
        <v>34998</v>
      </c>
      <c r="C9" s="17">
        <v>566</v>
      </c>
      <c r="D9" s="17">
        <v>32215</v>
      </c>
      <c r="E9" s="17">
        <v>32781</v>
      </c>
      <c r="F9" s="17">
        <v>29374</v>
      </c>
      <c r="G9" s="18">
        <v>0.7180151552187729</v>
      </c>
    </row>
    <row r="10" spans="1:7" x14ac:dyDescent="0.2">
      <c r="A10" s="11" t="s">
        <v>115</v>
      </c>
      <c r="B10" s="17">
        <v>120026</v>
      </c>
      <c r="C10" s="17">
        <v>1940</v>
      </c>
      <c r="D10" s="17">
        <v>110483</v>
      </c>
      <c r="E10" s="17">
        <v>112423</v>
      </c>
      <c r="F10" s="17">
        <v>100741</v>
      </c>
      <c r="G10" s="18">
        <v>2.4625030554876557</v>
      </c>
    </row>
    <row r="11" spans="1:7" x14ac:dyDescent="0.2">
      <c r="A11" s="11" t="s">
        <v>116</v>
      </c>
      <c r="B11" s="17">
        <v>31485</v>
      </c>
      <c r="C11" s="17">
        <v>509</v>
      </c>
      <c r="D11" s="17">
        <v>28982</v>
      </c>
      <c r="E11" s="17">
        <v>29491</v>
      </c>
      <c r="F11" s="17">
        <v>26426</v>
      </c>
      <c r="G11" s="18">
        <v>0.64595453434368122</v>
      </c>
    </row>
    <row r="12" spans="1:7" x14ac:dyDescent="0.2">
      <c r="A12" s="11" t="s">
        <v>117</v>
      </c>
      <c r="B12" s="17">
        <v>77274</v>
      </c>
      <c r="C12" s="17">
        <v>1249</v>
      </c>
      <c r="D12" s="17">
        <v>71130</v>
      </c>
      <c r="E12" s="17">
        <v>72379</v>
      </c>
      <c r="F12" s="17">
        <v>64858</v>
      </c>
      <c r="G12" s="18">
        <v>1.58538254705451</v>
      </c>
    </row>
    <row r="13" spans="1:7" x14ac:dyDescent="0.2">
      <c r="A13" s="11" t="s">
        <v>118</v>
      </c>
      <c r="B13" s="17">
        <v>13321</v>
      </c>
      <c r="C13" s="17">
        <v>215</v>
      </c>
      <c r="D13" s="17">
        <v>12262</v>
      </c>
      <c r="E13" s="17">
        <v>12477</v>
      </c>
      <c r="F13" s="17">
        <v>11181</v>
      </c>
      <c r="G13" s="18">
        <v>0.27330725983867027</v>
      </c>
    </row>
    <row r="14" spans="1:7" x14ac:dyDescent="0.2">
      <c r="A14" s="11" t="s">
        <v>119</v>
      </c>
      <c r="B14" s="17">
        <v>68433</v>
      </c>
      <c r="C14" s="17">
        <v>1106</v>
      </c>
      <c r="D14" s="17">
        <v>62992</v>
      </c>
      <c r="E14" s="17">
        <v>64098</v>
      </c>
      <c r="F14" s="17">
        <v>57437</v>
      </c>
      <c r="G14" s="18">
        <v>1.4039843559032021</v>
      </c>
    </row>
    <row r="15" spans="1:7" x14ac:dyDescent="0.2">
      <c r="A15" s="11" t="s">
        <v>120</v>
      </c>
      <c r="B15" s="17">
        <v>134757</v>
      </c>
      <c r="C15" s="17">
        <v>2179</v>
      </c>
      <c r="D15" s="17">
        <v>124043</v>
      </c>
      <c r="E15" s="17">
        <v>126222</v>
      </c>
      <c r="F15" s="17">
        <v>113105</v>
      </c>
      <c r="G15" s="18">
        <v>2.7647274505011001</v>
      </c>
    </row>
    <row r="16" spans="1:7" x14ac:dyDescent="0.2">
      <c r="A16" s="11" t="s">
        <v>121</v>
      </c>
      <c r="B16" s="17">
        <v>123916</v>
      </c>
      <c r="C16" s="17">
        <v>2003</v>
      </c>
      <c r="D16" s="17">
        <v>114063</v>
      </c>
      <c r="E16" s="17">
        <v>116066</v>
      </c>
      <c r="F16" s="17">
        <v>104006</v>
      </c>
      <c r="G16" s="18">
        <v>2.5423123930579319</v>
      </c>
    </row>
    <row r="17" spans="1:7" x14ac:dyDescent="0.2">
      <c r="A17" s="11" t="s">
        <v>122</v>
      </c>
      <c r="B17" s="17">
        <v>28752</v>
      </c>
      <c r="C17" s="17">
        <v>465</v>
      </c>
      <c r="D17" s="17">
        <v>26466</v>
      </c>
      <c r="E17" s="17">
        <v>26931</v>
      </c>
      <c r="F17" s="17">
        <v>24132</v>
      </c>
      <c r="G17" s="18">
        <v>0.58988022488389147</v>
      </c>
    </row>
    <row r="18" spans="1:7" x14ac:dyDescent="0.2">
      <c r="A18" s="11" t="s">
        <v>123</v>
      </c>
      <c r="B18" s="17">
        <v>1440</v>
      </c>
      <c r="C18" s="17">
        <v>23</v>
      </c>
      <c r="D18" s="17">
        <v>1325</v>
      </c>
      <c r="E18" s="17">
        <v>1348</v>
      </c>
      <c r="F18" s="17">
        <v>1209</v>
      </c>
      <c r="G18" s="18">
        <v>2.9552676607186506E-2</v>
      </c>
    </row>
    <row r="19" spans="1:7" x14ac:dyDescent="0.2">
      <c r="A19" s="11" t="s">
        <v>124</v>
      </c>
      <c r="B19" s="17">
        <v>270040</v>
      </c>
      <c r="C19" s="17">
        <v>4366</v>
      </c>
      <c r="D19" s="17">
        <v>248569</v>
      </c>
      <c r="E19" s="17">
        <v>252935</v>
      </c>
      <c r="F19" s="17">
        <v>226651</v>
      </c>
      <c r="G19" s="18">
        <v>5.5402346614519677</v>
      </c>
    </row>
    <row r="20" spans="1:7" x14ac:dyDescent="0.2">
      <c r="A20" s="11" t="s">
        <v>125</v>
      </c>
      <c r="B20" s="17">
        <v>45583</v>
      </c>
      <c r="C20" s="17">
        <v>737</v>
      </c>
      <c r="D20" s="17">
        <v>41958</v>
      </c>
      <c r="E20" s="17">
        <v>42695</v>
      </c>
      <c r="F20" s="17">
        <v>38259</v>
      </c>
      <c r="G20" s="18">
        <v>0.93519921779516013</v>
      </c>
    </row>
    <row r="21" spans="1:7" x14ac:dyDescent="0.2">
      <c r="A21" s="11" t="s">
        <v>126</v>
      </c>
      <c r="B21" s="17">
        <v>8308</v>
      </c>
      <c r="C21" s="17">
        <v>134</v>
      </c>
      <c r="D21" s="17">
        <v>7648</v>
      </c>
      <c r="E21" s="17">
        <v>7782</v>
      </c>
      <c r="F21" s="17">
        <v>6973</v>
      </c>
      <c r="G21" s="18">
        <v>0.17044732339281349</v>
      </c>
    </row>
    <row r="22" spans="1:7" x14ac:dyDescent="0.2">
      <c r="A22" s="11" t="s">
        <v>127</v>
      </c>
      <c r="B22" s="17">
        <v>25592</v>
      </c>
      <c r="C22" s="17">
        <v>414</v>
      </c>
      <c r="D22" s="17">
        <v>23557</v>
      </c>
      <c r="E22" s="17">
        <v>23971</v>
      </c>
      <c r="F22" s="17">
        <v>21480</v>
      </c>
      <c r="G22" s="18">
        <v>0.52505499877780493</v>
      </c>
    </row>
    <row r="23" spans="1:7" x14ac:dyDescent="0.2">
      <c r="A23" s="11" t="s">
        <v>128</v>
      </c>
      <c r="B23" s="17">
        <v>69439</v>
      </c>
      <c r="C23" s="17">
        <v>1123</v>
      </c>
      <c r="D23" s="17">
        <v>63917</v>
      </c>
      <c r="E23" s="17">
        <v>65040</v>
      </c>
      <c r="F23" s="17">
        <v>58281</v>
      </c>
      <c r="G23" s="18">
        <v>1.4246150085553655</v>
      </c>
    </row>
    <row r="24" spans="1:7" x14ac:dyDescent="0.2">
      <c r="A24" s="11" t="s">
        <v>129</v>
      </c>
      <c r="B24" s="17">
        <v>63964</v>
      </c>
      <c r="C24" s="17">
        <v>1034</v>
      </c>
      <c r="D24" s="17">
        <v>58878</v>
      </c>
      <c r="E24" s="17">
        <v>59912</v>
      </c>
      <c r="F24" s="17">
        <v>53687</v>
      </c>
      <c r="G24" s="18">
        <v>1.3123197262283059</v>
      </c>
    </row>
    <row r="25" spans="1:7" x14ac:dyDescent="0.2">
      <c r="A25" s="11" t="s">
        <v>130</v>
      </c>
      <c r="B25" s="17">
        <v>16955</v>
      </c>
      <c r="C25" s="17">
        <v>274</v>
      </c>
      <c r="D25" s="17">
        <v>15607</v>
      </c>
      <c r="E25" s="17">
        <v>15881</v>
      </c>
      <c r="F25" s="17">
        <v>14231</v>
      </c>
      <c r="G25" s="18">
        <v>0.3478611586409191</v>
      </c>
    </row>
    <row r="26" spans="1:7" x14ac:dyDescent="0.2">
      <c r="A26" s="11" t="s">
        <v>131</v>
      </c>
      <c r="B26" s="17">
        <v>97329</v>
      </c>
      <c r="C26" s="17">
        <v>1574</v>
      </c>
      <c r="D26" s="17">
        <v>89591</v>
      </c>
      <c r="E26" s="17">
        <v>91165</v>
      </c>
      <c r="F26" s="17">
        <v>81691</v>
      </c>
      <c r="G26" s="18">
        <v>1.9968467367391836</v>
      </c>
    </row>
    <row r="27" spans="1:7" x14ac:dyDescent="0.2">
      <c r="A27" s="11" t="s">
        <v>132</v>
      </c>
      <c r="B27" s="17">
        <v>191529</v>
      </c>
      <c r="C27" s="17">
        <v>3096</v>
      </c>
      <c r="D27" s="17">
        <v>176301</v>
      </c>
      <c r="E27" s="17">
        <v>179397</v>
      </c>
      <c r="F27" s="17">
        <v>160755</v>
      </c>
      <c r="G27" s="18">
        <v>3.9294793449034464</v>
      </c>
    </row>
    <row r="28" spans="1:7" x14ac:dyDescent="0.2">
      <c r="A28" s="11" t="s">
        <v>133</v>
      </c>
      <c r="B28" s="17">
        <v>77601</v>
      </c>
      <c r="C28" s="17">
        <v>1255</v>
      </c>
      <c r="D28" s="17">
        <v>71430</v>
      </c>
      <c r="E28" s="17">
        <v>72685</v>
      </c>
      <c r="F28" s="17">
        <v>65132</v>
      </c>
      <c r="G28" s="18">
        <v>1.592080175996089</v>
      </c>
    </row>
    <row r="29" spans="1:7" x14ac:dyDescent="0.2">
      <c r="A29" s="11" t="s">
        <v>134</v>
      </c>
      <c r="B29" s="17">
        <v>57476</v>
      </c>
      <c r="C29" s="17">
        <v>929</v>
      </c>
      <c r="D29" s="17">
        <v>52906</v>
      </c>
      <c r="E29" s="17">
        <v>53835</v>
      </c>
      <c r="F29" s="17">
        <v>48241</v>
      </c>
      <c r="G29" s="18">
        <v>1.1791982400391103</v>
      </c>
    </row>
    <row r="30" spans="1:7" x14ac:dyDescent="0.2">
      <c r="A30" s="11" t="s">
        <v>135</v>
      </c>
      <c r="B30" s="17">
        <v>28436</v>
      </c>
      <c r="C30" s="17">
        <v>460</v>
      </c>
      <c r="D30" s="17">
        <v>26175</v>
      </c>
      <c r="E30" s="17">
        <v>26635</v>
      </c>
      <c r="F30" s="17">
        <v>23867</v>
      </c>
      <c r="G30" s="18">
        <v>0.58340259105353209</v>
      </c>
    </row>
    <row r="31" spans="1:7" x14ac:dyDescent="0.2">
      <c r="A31" s="11" t="s">
        <v>136</v>
      </c>
      <c r="B31" s="17">
        <v>50801</v>
      </c>
      <c r="C31" s="17">
        <v>821</v>
      </c>
      <c r="D31" s="17">
        <v>46762</v>
      </c>
      <c r="E31" s="17">
        <v>47583</v>
      </c>
      <c r="F31" s="17">
        <v>42639</v>
      </c>
      <c r="G31" s="18">
        <v>1.0422635052554388</v>
      </c>
    </row>
    <row r="32" spans="1:7" x14ac:dyDescent="0.2">
      <c r="A32" s="11" t="s">
        <v>137</v>
      </c>
      <c r="B32" s="17">
        <v>6548</v>
      </c>
      <c r="C32" s="17">
        <v>106</v>
      </c>
      <c r="D32" s="17">
        <v>6027</v>
      </c>
      <c r="E32" s="17">
        <v>6133</v>
      </c>
      <c r="F32" s="17">
        <v>5496</v>
      </c>
      <c r="G32" s="18">
        <v>0.13434368125152774</v>
      </c>
    </row>
    <row r="33" spans="1:7" x14ac:dyDescent="0.2">
      <c r="A33" s="11" t="s">
        <v>138</v>
      </c>
      <c r="B33" s="17">
        <v>17303</v>
      </c>
      <c r="C33" s="17">
        <v>280</v>
      </c>
      <c r="D33" s="17">
        <v>15927</v>
      </c>
      <c r="E33" s="17">
        <v>16207</v>
      </c>
      <c r="F33" s="17">
        <v>14523</v>
      </c>
      <c r="G33" s="18">
        <v>0.35499877780493766</v>
      </c>
    </row>
    <row r="34" spans="1:7" x14ac:dyDescent="0.2">
      <c r="A34" s="11" t="s">
        <v>139</v>
      </c>
      <c r="B34" s="17">
        <v>16443</v>
      </c>
      <c r="C34" s="17">
        <v>266</v>
      </c>
      <c r="D34" s="17">
        <v>15135</v>
      </c>
      <c r="E34" s="17">
        <v>15401</v>
      </c>
      <c r="F34" s="17">
        <v>13801</v>
      </c>
      <c r="G34" s="18">
        <v>0.33735028110486431</v>
      </c>
    </row>
    <row r="35" spans="1:7" x14ac:dyDescent="0.2">
      <c r="A35" s="11" t="s">
        <v>140</v>
      </c>
      <c r="B35" s="17">
        <v>13004</v>
      </c>
      <c r="C35" s="17">
        <v>210</v>
      </c>
      <c r="D35" s="17">
        <v>11970</v>
      </c>
      <c r="E35" s="17">
        <v>12180</v>
      </c>
      <c r="F35" s="17">
        <v>10915</v>
      </c>
      <c r="G35" s="18">
        <v>0.26680518210706428</v>
      </c>
    </row>
    <row r="36" spans="1:7" x14ac:dyDescent="0.2">
      <c r="A36" s="11" t="s">
        <v>141</v>
      </c>
      <c r="B36" s="17">
        <v>168730</v>
      </c>
      <c r="C36" s="17">
        <v>2728</v>
      </c>
      <c r="D36" s="17">
        <v>155314</v>
      </c>
      <c r="E36" s="17">
        <v>158042</v>
      </c>
      <c r="F36" s="17">
        <v>141619</v>
      </c>
      <c r="G36" s="18">
        <v>3.4617208506477635</v>
      </c>
    </row>
    <row r="37" spans="1:7" x14ac:dyDescent="0.2">
      <c r="A37" s="11" t="s">
        <v>142</v>
      </c>
      <c r="B37" s="17">
        <v>13944</v>
      </c>
      <c r="C37" s="17">
        <v>225</v>
      </c>
      <c r="D37" s="17">
        <v>12835</v>
      </c>
      <c r="E37" s="17">
        <v>13060</v>
      </c>
      <c r="F37" s="17">
        <v>11704</v>
      </c>
      <c r="G37" s="18">
        <v>0.28609142019066242</v>
      </c>
    </row>
    <row r="38" spans="1:7" x14ac:dyDescent="0.2">
      <c r="A38" s="11" t="s">
        <v>143</v>
      </c>
      <c r="B38" s="17">
        <v>1176715</v>
      </c>
      <c r="C38" s="17">
        <v>19024</v>
      </c>
      <c r="D38" s="17">
        <v>1083153</v>
      </c>
      <c r="E38" s="17">
        <v>1102177</v>
      </c>
      <c r="F38" s="17">
        <v>987645</v>
      </c>
      <c r="G38" s="18">
        <v>24.141896846736739</v>
      </c>
    </row>
    <row r="39" spans="1:7" x14ac:dyDescent="0.2">
      <c r="A39" s="11" t="s">
        <v>144</v>
      </c>
      <c r="B39" s="17">
        <v>117258</v>
      </c>
      <c r="C39" s="17">
        <v>1896</v>
      </c>
      <c r="D39" s="17">
        <v>107935</v>
      </c>
      <c r="E39" s="17">
        <v>109831</v>
      </c>
      <c r="F39" s="17">
        <v>98418</v>
      </c>
      <c r="G39" s="18">
        <v>2.4057198728917135</v>
      </c>
    </row>
    <row r="40" spans="1:7" x14ac:dyDescent="0.2">
      <c r="A40" s="11" t="s">
        <v>145</v>
      </c>
      <c r="B40" s="17">
        <v>4266</v>
      </c>
      <c r="C40" s="17">
        <v>69</v>
      </c>
      <c r="D40" s="17">
        <v>3927</v>
      </c>
      <c r="E40" s="17">
        <v>3996</v>
      </c>
      <c r="F40" s="17">
        <v>3580</v>
      </c>
      <c r="G40" s="18">
        <v>8.7509166462967483E-2</v>
      </c>
    </row>
    <row r="41" spans="1:7" x14ac:dyDescent="0.2">
      <c r="A41" s="11" t="s">
        <v>146</v>
      </c>
      <c r="B41" s="17">
        <v>216637</v>
      </c>
      <c r="C41" s="17">
        <v>3502</v>
      </c>
      <c r="D41" s="17">
        <v>199412</v>
      </c>
      <c r="E41" s="17">
        <v>202914</v>
      </c>
      <c r="F41" s="17">
        <v>181829</v>
      </c>
      <c r="G41" s="18">
        <v>4.444610119775116</v>
      </c>
    </row>
    <row r="42" spans="1:7" x14ac:dyDescent="0.2">
      <c r="A42" s="11" t="s">
        <v>147</v>
      </c>
      <c r="B42" s="17">
        <v>47281</v>
      </c>
      <c r="C42" s="17">
        <v>764</v>
      </c>
      <c r="D42" s="17">
        <v>43521</v>
      </c>
      <c r="E42" s="17">
        <v>44285</v>
      </c>
      <c r="F42" s="17">
        <v>39684</v>
      </c>
      <c r="G42" s="18">
        <v>0.97003177707162058</v>
      </c>
    </row>
    <row r="43" spans="1:7" x14ac:dyDescent="0.2">
      <c r="A43" s="11" t="s">
        <v>148</v>
      </c>
      <c r="B43" s="17">
        <v>20704</v>
      </c>
      <c r="C43" s="17">
        <v>335</v>
      </c>
      <c r="D43" s="17">
        <v>19058</v>
      </c>
      <c r="E43" s="17">
        <v>19393</v>
      </c>
      <c r="F43" s="17">
        <v>17378</v>
      </c>
      <c r="G43" s="18">
        <v>0.42478611586409193</v>
      </c>
    </row>
    <row r="44" spans="1:7" x14ac:dyDescent="0.2">
      <c r="A44" s="11" t="s">
        <v>149</v>
      </c>
      <c r="B44" s="17">
        <v>373968</v>
      </c>
      <c r="C44" s="17">
        <v>6046</v>
      </c>
      <c r="D44" s="17">
        <v>344233</v>
      </c>
      <c r="E44" s="17">
        <v>350279</v>
      </c>
      <c r="F44" s="17">
        <v>313880</v>
      </c>
      <c r="G44" s="18">
        <v>7.6724517232950378</v>
      </c>
    </row>
    <row r="45" spans="1:7" x14ac:dyDescent="0.2">
      <c r="A45" s="11" t="s">
        <v>150</v>
      </c>
      <c r="B45" s="17">
        <v>42252</v>
      </c>
      <c r="C45" s="17">
        <v>683</v>
      </c>
      <c r="D45" s="17">
        <v>38893</v>
      </c>
      <c r="E45" s="17">
        <v>39576</v>
      </c>
      <c r="F45" s="17">
        <v>35463</v>
      </c>
      <c r="G45" s="18">
        <v>0.8668540699095576</v>
      </c>
    </row>
    <row r="46" spans="1:7" x14ac:dyDescent="0.2">
      <c r="A46" s="11" t="s">
        <v>151</v>
      </c>
      <c r="B46" s="17">
        <v>55006</v>
      </c>
      <c r="C46" s="17">
        <v>889</v>
      </c>
      <c r="D46" s="17">
        <v>50632</v>
      </c>
      <c r="E46" s="17">
        <v>51521</v>
      </c>
      <c r="F46" s="17">
        <v>46167</v>
      </c>
      <c r="G46" s="18">
        <v>1.128501588853581</v>
      </c>
    </row>
    <row r="47" spans="1:7" x14ac:dyDescent="0.2">
      <c r="A47" s="11" t="s">
        <v>152</v>
      </c>
      <c r="B47" s="17">
        <v>3465</v>
      </c>
      <c r="C47" s="17">
        <v>56</v>
      </c>
      <c r="D47" s="17">
        <v>3189</v>
      </c>
      <c r="E47" s="17">
        <v>3245</v>
      </c>
      <c r="F47" s="17">
        <v>2908</v>
      </c>
      <c r="G47" s="18">
        <v>7.1082864825226105E-2</v>
      </c>
    </row>
    <row r="48" spans="1:7" x14ac:dyDescent="0.2">
      <c r="A48" s="11" t="s">
        <v>153</v>
      </c>
      <c r="B48" s="17">
        <v>89145</v>
      </c>
      <c r="C48" s="17">
        <v>1441</v>
      </c>
      <c r="D48" s="17">
        <v>82057</v>
      </c>
      <c r="E48" s="17">
        <v>83498</v>
      </c>
      <c r="F48" s="17">
        <v>74821</v>
      </c>
      <c r="G48" s="18">
        <v>1.8289171351747739</v>
      </c>
    </row>
    <row r="49" spans="1:7" x14ac:dyDescent="0.2">
      <c r="A49" s="11" t="s">
        <v>154</v>
      </c>
      <c r="B49" s="17">
        <v>164490</v>
      </c>
      <c r="C49" s="17">
        <v>2659</v>
      </c>
      <c r="D49" s="17">
        <v>151411</v>
      </c>
      <c r="E49" s="17">
        <v>154070</v>
      </c>
      <c r="F49" s="17">
        <v>138060</v>
      </c>
      <c r="G49" s="18">
        <v>3.3747250061109755</v>
      </c>
    </row>
    <row r="50" spans="1:7" x14ac:dyDescent="0.2">
      <c r="A50" s="11" t="s">
        <v>155</v>
      </c>
      <c r="B50" s="17">
        <v>4382</v>
      </c>
      <c r="C50" s="17">
        <v>71</v>
      </c>
      <c r="D50" s="17">
        <v>4033</v>
      </c>
      <c r="E50" s="17">
        <v>4104</v>
      </c>
      <c r="F50" s="17">
        <v>3678</v>
      </c>
      <c r="G50" s="18">
        <v>8.9904668785138114E-2</v>
      </c>
    </row>
    <row r="51" spans="1:7" x14ac:dyDescent="0.2">
      <c r="A51" s="11" t="s">
        <v>156</v>
      </c>
      <c r="B51" s="17">
        <v>4021</v>
      </c>
      <c r="C51" s="17">
        <v>65</v>
      </c>
      <c r="D51" s="17">
        <v>3701</v>
      </c>
      <c r="E51" s="17">
        <v>3766</v>
      </c>
      <c r="F51" s="17">
        <v>3375</v>
      </c>
      <c r="G51" s="18">
        <v>8.2498166707406506E-2</v>
      </c>
    </row>
    <row r="52" spans="1:7" x14ac:dyDescent="0.2">
      <c r="A52" s="11" t="s">
        <v>157</v>
      </c>
      <c r="B52" s="17">
        <v>80115</v>
      </c>
      <c r="C52" s="17">
        <v>1295</v>
      </c>
      <c r="D52" s="17">
        <v>73745</v>
      </c>
      <c r="E52" s="17">
        <v>75040</v>
      </c>
      <c r="F52" s="17">
        <v>67242</v>
      </c>
      <c r="G52" s="18">
        <v>1.6436568076264972</v>
      </c>
    </row>
    <row r="53" spans="1:7" x14ac:dyDescent="0.2">
      <c r="A53" s="11" t="s">
        <v>158</v>
      </c>
      <c r="B53" s="17">
        <v>64735</v>
      </c>
      <c r="C53" s="17">
        <v>1047</v>
      </c>
      <c r="D53" s="17">
        <v>59588</v>
      </c>
      <c r="E53" s="17">
        <v>60635</v>
      </c>
      <c r="F53" s="17">
        <v>54334</v>
      </c>
      <c r="G53" s="18">
        <v>1.3281349303348815</v>
      </c>
    </row>
    <row r="54" spans="1:7" x14ac:dyDescent="0.2">
      <c r="A54" s="11" t="s">
        <v>159</v>
      </c>
      <c r="B54" s="17">
        <v>21164</v>
      </c>
      <c r="C54" s="17">
        <v>342</v>
      </c>
      <c r="D54" s="17">
        <v>19481</v>
      </c>
      <c r="E54" s="17">
        <v>19823</v>
      </c>
      <c r="F54" s="17">
        <v>17763</v>
      </c>
      <c r="G54" s="18">
        <v>0.43419701784404791</v>
      </c>
    </row>
    <row r="55" spans="1:7" x14ac:dyDescent="0.2">
      <c r="A55" s="11" t="s">
        <v>160</v>
      </c>
      <c r="B55" s="17">
        <v>18745</v>
      </c>
      <c r="C55" s="17">
        <v>303</v>
      </c>
      <c r="D55" s="17">
        <v>17254</v>
      </c>
      <c r="E55" s="17">
        <v>17557</v>
      </c>
      <c r="F55" s="17">
        <v>15733</v>
      </c>
      <c r="G55" s="18">
        <v>0.3845758983133708</v>
      </c>
    </row>
    <row r="56" spans="1:7" x14ac:dyDescent="0.2">
      <c r="A56" s="11" t="s">
        <v>161</v>
      </c>
      <c r="B56" s="17">
        <v>2203</v>
      </c>
      <c r="C56" s="17">
        <v>36</v>
      </c>
      <c r="D56" s="17">
        <v>2028</v>
      </c>
      <c r="E56" s="17">
        <v>2064</v>
      </c>
      <c r="F56" s="17">
        <v>1849</v>
      </c>
      <c r="G56" s="18">
        <v>4.5196773405035445E-2</v>
      </c>
    </row>
    <row r="57" spans="1:7" x14ac:dyDescent="0.2">
      <c r="A57" s="11" t="s">
        <v>162</v>
      </c>
      <c r="B57" s="17">
        <v>0</v>
      </c>
      <c r="C57" s="17">
        <v>0</v>
      </c>
      <c r="D57" s="17">
        <v>0</v>
      </c>
      <c r="E57" s="17">
        <v>0</v>
      </c>
      <c r="F57" s="17">
        <v>0</v>
      </c>
      <c r="G57" s="18">
        <v>0</v>
      </c>
    </row>
    <row r="58" spans="1:7" x14ac:dyDescent="0.2">
      <c r="A58" s="11" t="s">
        <v>163</v>
      </c>
      <c r="B58" s="17">
        <v>5247</v>
      </c>
      <c r="C58" s="17">
        <v>85</v>
      </c>
      <c r="D58" s="17">
        <v>4830</v>
      </c>
      <c r="E58" s="17">
        <v>4915</v>
      </c>
      <c r="F58" s="17">
        <v>4404</v>
      </c>
      <c r="G58" s="18">
        <v>0.107650941090198</v>
      </c>
    </row>
    <row r="59" spans="1:7" x14ac:dyDescent="0.2">
      <c r="A59" s="11" t="s">
        <v>164</v>
      </c>
      <c r="B59" s="17">
        <v>0</v>
      </c>
      <c r="C59" s="17">
        <v>0</v>
      </c>
      <c r="D59" s="17">
        <v>0</v>
      </c>
      <c r="E59" s="17">
        <v>0</v>
      </c>
      <c r="F59" s="17">
        <v>0</v>
      </c>
      <c r="G59" s="18">
        <v>0</v>
      </c>
    </row>
    <row r="60" spans="1:7" x14ac:dyDescent="0.2">
      <c r="A60" s="11" t="s">
        <v>165</v>
      </c>
      <c r="B60" s="17">
        <v>289901</v>
      </c>
      <c r="C60" s="17">
        <v>4687</v>
      </c>
      <c r="D60" s="17">
        <v>266851</v>
      </c>
      <c r="E60" s="17">
        <v>271538</v>
      </c>
      <c r="F60" s="17">
        <v>243321</v>
      </c>
      <c r="G60" s="18">
        <v>5.9477144952334395</v>
      </c>
    </row>
    <row r="61" spans="1:7" x14ac:dyDescent="0.2">
      <c r="A61" s="11" t="s">
        <v>166</v>
      </c>
      <c r="B61" s="17">
        <v>0</v>
      </c>
      <c r="C61" s="17">
        <v>0</v>
      </c>
      <c r="D61" s="17">
        <v>0</v>
      </c>
      <c r="E61" s="17">
        <v>0</v>
      </c>
      <c r="F61" s="17">
        <v>0</v>
      </c>
      <c r="G61" s="18">
        <v>0</v>
      </c>
    </row>
    <row r="62" spans="1:7" x14ac:dyDescent="0.2">
      <c r="A62" s="11" t="s">
        <v>167</v>
      </c>
      <c r="B62" s="17">
        <v>24326</v>
      </c>
      <c r="C62" s="17">
        <v>393</v>
      </c>
      <c r="D62" s="17">
        <v>22392</v>
      </c>
      <c r="E62" s="17">
        <v>22785</v>
      </c>
      <c r="F62" s="17">
        <v>20416</v>
      </c>
      <c r="G62" s="18">
        <v>0.49904668785138107</v>
      </c>
    </row>
    <row r="63" spans="1:7" x14ac:dyDescent="0.2">
      <c r="A63" s="11" t="s">
        <v>168</v>
      </c>
      <c r="B63" s="17">
        <v>0</v>
      </c>
      <c r="C63" s="17">
        <v>0</v>
      </c>
      <c r="D63" s="17">
        <v>0</v>
      </c>
      <c r="E63" s="17">
        <v>0</v>
      </c>
      <c r="F63" s="17">
        <v>0</v>
      </c>
      <c r="G63" s="18">
        <v>0</v>
      </c>
    </row>
    <row r="64" spans="1:7" x14ac:dyDescent="0.2">
      <c r="A64" s="11" t="s">
        <v>169</v>
      </c>
      <c r="B64" s="17">
        <v>0</v>
      </c>
      <c r="C64" s="17">
        <v>3000</v>
      </c>
      <c r="D64" s="17">
        <v>0</v>
      </c>
      <c r="E64" s="17">
        <v>3000</v>
      </c>
      <c r="F64" s="17">
        <v>0</v>
      </c>
      <c r="G64" s="18">
        <v>0</v>
      </c>
    </row>
    <row r="65" spans="1:7" ht="15" customHeight="1" x14ac:dyDescent="0.2">
      <c r="A65" s="19" t="s">
        <v>110</v>
      </c>
      <c r="B65" s="20">
        <f>143280+9491+21937+34998+120026+31485+77274+13321+68433+134757+123916+28752+1440+270040+45583+8308+25592+69439+63964+16955+97329+191529+77601+57476+28436+50801+6548+17303+16443+13004+168730+13944+1176715+117258+4266+216637+47281+20704+373968+42252+55006+3465+89145+164490+4382+4021+80115+64735+21164+18745+2203+0+5247+0+289901+0+24326+0+0+0</f>
        <v>4874161</v>
      </c>
      <c r="C65" s="20">
        <f>2316+153+355+566+1940+509+1249+215+1106+2179+2003+465+23+4366+737+134+414+1123+1034+274+1574+3096+1255+929+460+821+106+280+266+210+2728+225+19024+1896+69+3502+764+335+6046+683+889+56+1441+2659+71+65+1295+1047+342+303+36+0+85+0+4687+0+393+0+3000+0</f>
        <v>81799</v>
      </c>
      <c r="D65" s="20">
        <f>131888+8736+20193+32215+110483+28982+71130+12262+62992+124043+114063+26466+1325+248569+41958+7648+23557+63917+58878+15607+89591+176301+71430+52906+26175+46762+6027+15927+15135+11970+155314+12835+1083153+107935+3927+199412+43521+19058+344233+38893+50632+3189+82057+151411+4033+3701+73745+59588+19481+17254+2028+0+4830+0+266851+0+22392+0+0+0</f>
        <v>4486609</v>
      </c>
      <c r="E65" s="20">
        <f>SUM(C65:D65)</f>
        <v>4568408</v>
      </c>
      <c r="F65" s="24" t="s">
        <v>442</v>
      </c>
      <c r="G65" s="21" t="s">
        <v>253</v>
      </c>
    </row>
    <row r="66" spans="1:7" ht="15" customHeight="1" x14ac:dyDescent="0.2">
      <c r="A66" s="74" t="s">
        <v>171</v>
      </c>
      <c r="B66" s="74"/>
      <c r="C66" s="74"/>
      <c r="D66" s="74"/>
      <c r="E66" s="74"/>
      <c r="F66" s="74"/>
      <c r="G66" s="74"/>
    </row>
    <row r="67" spans="1:7" ht="27.75" customHeight="1" x14ac:dyDescent="0.2">
      <c r="A67" s="67" t="s">
        <v>440</v>
      </c>
      <c r="B67" s="67"/>
      <c r="C67" s="67"/>
      <c r="D67" s="67"/>
      <c r="E67" s="67"/>
      <c r="F67" s="67"/>
      <c r="G67" s="67"/>
    </row>
    <row r="68" spans="1:7" ht="15" customHeight="1" x14ac:dyDescent="0.2">
      <c r="A68" s="67" t="s">
        <v>255</v>
      </c>
      <c r="B68" s="67"/>
      <c r="C68" s="67"/>
      <c r="D68" s="67"/>
      <c r="E68" s="67"/>
      <c r="F68" s="67"/>
      <c r="G68" s="67"/>
    </row>
  </sheetData>
  <mergeCells count="7">
    <mergeCell ref="A67:G67"/>
    <mergeCell ref="A68:G68"/>
    <mergeCell ref="A4:A5"/>
    <mergeCell ref="B4:B5"/>
    <mergeCell ref="F4:F5"/>
    <mergeCell ref="G4:G5"/>
    <mergeCell ref="A66:G6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2" t="s">
        <v>374</v>
      </c>
      <c r="B1" s="10"/>
      <c r="C1" s="10"/>
      <c r="D1" s="10"/>
      <c r="E1" s="10"/>
      <c r="F1" s="10"/>
      <c r="G1" s="12" t="s">
        <v>385</v>
      </c>
    </row>
    <row r="2" spans="1:7" x14ac:dyDescent="0.2">
      <c r="A2" s="13" t="s">
        <v>386</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83331</v>
      </c>
      <c r="C6" s="17">
        <v>2658</v>
      </c>
      <c r="D6" s="17">
        <v>86789</v>
      </c>
      <c r="E6" s="17">
        <v>89447</v>
      </c>
      <c r="F6" s="17">
        <v>0</v>
      </c>
      <c r="G6" s="18">
        <f>IF(AND(F65&lt;&gt;0,0&lt;&gt;0),IF(100*0/(F65-0)&lt;0.005,"*",100*0/(F65-0)),0)</f>
        <v>0</v>
      </c>
    </row>
    <row r="7" spans="1:7" x14ac:dyDescent="0.2">
      <c r="A7" s="11" t="s">
        <v>112</v>
      </c>
      <c r="B7" s="17">
        <v>3021</v>
      </c>
      <c r="C7" s="17">
        <v>133</v>
      </c>
      <c r="D7" s="17">
        <v>3146</v>
      </c>
      <c r="E7" s="17">
        <v>3279</v>
      </c>
      <c r="F7" s="17">
        <v>0</v>
      </c>
      <c r="G7" s="18">
        <f>IF(AND(F65&lt;&gt;0,0&lt;&gt;0),IF(100*0/(F65-0)&lt;0.005,"*",100*0/(F65-0)),0)</f>
        <v>0</v>
      </c>
    </row>
    <row r="8" spans="1:7" x14ac:dyDescent="0.2">
      <c r="A8" s="11" t="s">
        <v>113</v>
      </c>
      <c r="B8" s="17">
        <v>10433</v>
      </c>
      <c r="C8" s="17">
        <v>458</v>
      </c>
      <c r="D8" s="17">
        <v>10866</v>
      </c>
      <c r="E8" s="17">
        <v>11324</v>
      </c>
      <c r="F8" s="17">
        <v>0</v>
      </c>
      <c r="G8" s="18">
        <f>IF(AND(F65&lt;&gt;0,0&lt;&gt;0),IF(100*0/(F65-0)&lt;0.005,"*",100*0/(F65-0)),0)</f>
        <v>0</v>
      </c>
    </row>
    <row r="9" spans="1:7" x14ac:dyDescent="0.2">
      <c r="A9" s="11" t="s">
        <v>114</v>
      </c>
      <c r="B9" s="17">
        <v>23940</v>
      </c>
      <c r="C9" s="17">
        <v>1051</v>
      </c>
      <c r="D9" s="17">
        <v>24934</v>
      </c>
      <c r="E9" s="17">
        <v>25985</v>
      </c>
      <c r="F9" s="17">
        <v>0</v>
      </c>
      <c r="G9" s="18">
        <f>IF(AND(F65&lt;&gt;0,0&lt;&gt;0),IF(100*0/(F65-0)&lt;0.005,"*",100*0/(F65-0)),0)</f>
        <v>0</v>
      </c>
    </row>
    <row r="10" spans="1:7" x14ac:dyDescent="0.2">
      <c r="A10" s="11" t="s">
        <v>115</v>
      </c>
      <c r="B10" s="17">
        <v>92643</v>
      </c>
      <c r="C10" s="17">
        <v>3068</v>
      </c>
      <c r="D10" s="17">
        <v>96487</v>
      </c>
      <c r="E10" s="17">
        <v>99555</v>
      </c>
      <c r="F10" s="17">
        <v>0</v>
      </c>
      <c r="G10" s="18">
        <f>IF(AND(F65&lt;&gt;0,0&lt;&gt;0),IF(100*0/(F65-0)&lt;0.005,"*",100*0/(F65-0)),0)</f>
        <v>0</v>
      </c>
    </row>
    <row r="11" spans="1:7" x14ac:dyDescent="0.2">
      <c r="A11" s="11" t="s">
        <v>116</v>
      </c>
      <c r="B11" s="17">
        <v>17014</v>
      </c>
      <c r="C11" s="17">
        <v>747</v>
      </c>
      <c r="D11" s="17">
        <v>17720</v>
      </c>
      <c r="E11" s="17">
        <v>18467</v>
      </c>
      <c r="F11" s="17">
        <v>0</v>
      </c>
      <c r="G11" s="18">
        <f>IF(AND(F65&lt;&gt;0,0&lt;&gt;0),IF(100*0/(F65-0)&lt;0.005,"*",100*0/(F65-0)),0)</f>
        <v>0</v>
      </c>
    </row>
    <row r="12" spans="1:7" x14ac:dyDescent="0.2">
      <c r="A12" s="11" t="s">
        <v>117</v>
      </c>
      <c r="B12" s="17">
        <v>36539</v>
      </c>
      <c r="C12" s="17">
        <v>1605</v>
      </c>
      <c r="D12" s="17">
        <v>38056</v>
      </c>
      <c r="E12" s="17">
        <v>39661</v>
      </c>
      <c r="F12" s="17">
        <v>0</v>
      </c>
      <c r="G12" s="18">
        <f>IF(AND(F65&lt;&gt;0,0&lt;&gt;0),IF(100*0/(F65-0)&lt;0.005,"*",100*0/(F65-0)),0)</f>
        <v>0</v>
      </c>
    </row>
    <row r="13" spans="1:7" x14ac:dyDescent="0.2">
      <c r="A13" s="11" t="s">
        <v>118</v>
      </c>
      <c r="B13" s="17">
        <v>6593</v>
      </c>
      <c r="C13" s="17">
        <v>290</v>
      </c>
      <c r="D13" s="17">
        <v>6866</v>
      </c>
      <c r="E13" s="17">
        <v>7156</v>
      </c>
      <c r="F13" s="17">
        <v>0</v>
      </c>
      <c r="G13" s="18">
        <f>IF(AND(F65&lt;&gt;0,0&lt;&gt;0),IF(100*0/(F65-0)&lt;0.005,"*",100*0/(F65-0)),0)</f>
        <v>0</v>
      </c>
    </row>
    <row r="14" spans="1:7" x14ac:dyDescent="0.2">
      <c r="A14" s="11" t="s">
        <v>119</v>
      </c>
      <c r="B14" s="17">
        <v>20751</v>
      </c>
      <c r="C14" s="17">
        <v>911</v>
      </c>
      <c r="D14" s="17">
        <v>21612</v>
      </c>
      <c r="E14" s="17">
        <v>22523</v>
      </c>
      <c r="F14" s="17">
        <v>0</v>
      </c>
      <c r="G14" s="18">
        <f>IF(AND(F65&lt;&gt;0,0&lt;&gt;0),IF(100*0/(F65-0)&lt;0.005,"*",100*0/(F65-0)),0)</f>
        <v>0</v>
      </c>
    </row>
    <row r="15" spans="1:7" x14ac:dyDescent="0.2">
      <c r="A15" s="11" t="s">
        <v>120</v>
      </c>
      <c r="B15" s="17">
        <v>70369</v>
      </c>
      <c r="C15" s="17">
        <v>2590</v>
      </c>
      <c r="D15" s="17">
        <v>73289</v>
      </c>
      <c r="E15" s="17">
        <v>75879</v>
      </c>
      <c r="F15" s="17">
        <v>0</v>
      </c>
      <c r="G15" s="18">
        <f>IF(AND(F65&lt;&gt;0,0&lt;&gt;0),IF(100*0/(F65-0)&lt;0.005,"*",100*0/(F65-0)),0)</f>
        <v>0</v>
      </c>
    </row>
    <row r="16" spans="1:7" x14ac:dyDescent="0.2">
      <c r="A16" s="11" t="s">
        <v>121</v>
      </c>
      <c r="B16" s="17">
        <v>88299</v>
      </c>
      <c r="C16" s="17">
        <v>2876</v>
      </c>
      <c r="D16" s="17">
        <v>91962</v>
      </c>
      <c r="E16" s="17">
        <v>94838</v>
      </c>
      <c r="F16" s="17">
        <v>0</v>
      </c>
      <c r="G16" s="18">
        <f>IF(AND(F65&lt;&gt;0,0&lt;&gt;0),IF(100*0/(F65-0)&lt;0.005,"*",100*0/(F65-0)),0)</f>
        <v>0</v>
      </c>
    </row>
    <row r="17" spans="1:7" x14ac:dyDescent="0.2">
      <c r="A17" s="11" t="s">
        <v>122</v>
      </c>
      <c r="B17" s="17">
        <v>13681</v>
      </c>
      <c r="C17" s="17">
        <v>601</v>
      </c>
      <c r="D17" s="17">
        <v>14248</v>
      </c>
      <c r="E17" s="17">
        <v>14849</v>
      </c>
      <c r="F17" s="17">
        <v>0</v>
      </c>
      <c r="G17" s="18">
        <f>IF(AND(F65&lt;&gt;0,0&lt;&gt;0),IF(100*0/(F65-0)&lt;0.005,"*",100*0/(F65-0)),0)</f>
        <v>0</v>
      </c>
    </row>
    <row r="18" spans="1:7" x14ac:dyDescent="0.2">
      <c r="A18" s="11" t="s">
        <v>123</v>
      </c>
      <c r="B18" s="17">
        <v>1573</v>
      </c>
      <c r="C18" s="17">
        <v>69</v>
      </c>
      <c r="D18" s="17">
        <v>1639</v>
      </c>
      <c r="E18" s="17">
        <v>1708</v>
      </c>
      <c r="F18" s="17">
        <v>0</v>
      </c>
      <c r="G18" s="18">
        <f>IF(AND(F65&lt;&gt;0,0&lt;&gt;0),IF(100*0/(F65-0)&lt;0.005,"*",100*0/(F65-0)),0)</f>
        <v>0</v>
      </c>
    </row>
    <row r="19" spans="1:7" x14ac:dyDescent="0.2">
      <c r="A19" s="11" t="s">
        <v>124</v>
      </c>
      <c r="B19" s="17">
        <v>138498</v>
      </c>
      <c r="C19" s="17">
        <v>5081</v>
      </c>
      <c r="D19" s="17">
        <v>144245</v>
      </c>
      <c r="E19" s="17">
        <v>149326</v>
      </c>
      <c r="F19" s="17">
        <v>0</v>
      </c>
      <c r="G19" s="18">
        <f>IF(AND(F65&lt;&gt;0,0&lt;&gt;0),IF(100*0/(F65-0)&lt;0.005,"*",100*0/(F65-0)),0)</f>
        <v>0</v>
      </c>
    </row>
    <row r="20" spans="1:7" x14ac:dyDescent="0.2">
      <c r="A20" s="11" t="s">
        <v>125</v>
      </c>
      <c r="B20" s="17">
        <v>32419</v>
      </c>
      <c r="C20" s="17">
        <v>1423</v>
      </c>
      <c r="D20" s="17">
        <v>33764</v>
      </c>
      <c r="E20" s="17">
        <v>35187</v>
      </c>
      <c r="F20" s="17">
        <v>0</v>
      </c>
      <c r="G20" s="18">
        <f>IF(AND(F65&lt;&gt;0,0&lt;&gt;0),IF(100*0/(F65-0)&lt;0.005,"*",100*0/(F65-0)),0)</f>
        <v>0</v>
      </c>
    </row>
    <row r="21" spans="1:7" x14ac:dyDescent="0.2">
      <c r="A21" s="11" t="s">
        <v>126</v>
      </c>
      <c r="B21" s="17">
        <v>7701</v>
      </c>
      <c r="C21" s="17">
        <v>339</v>
      </c>
      <c r="D21" s="17">
        <v>8020</v>
      </c>
      <c r="E21" s="17">
        <v>8359</v>
      </c>
      <c r="F21" s="17">
        <v>0</v>
      </c>
      <c r="G21" s="18">
        <f>IF(AND(F65&lt;&gt;0,0&lt;&gt;0),IF(100*0/(F65-0)&lt;0.005,"*",100*0/(F65-0)),0)</f>
        <v>0</v>
      </c>
    </row>
    <row r="22" spans="1:7" x14ac:dyDescent="0.2">
      <c r="A22" s="11" t="s">
        <v>127</v>
      </c>
      <c r="B22" s="17">
        <v>18165</v>
      </c>
      <c r="C22" s="17">
        <v>797</v>
      </c>
      <c r="D22" s="17">
        <v>18919</v>
      </c>
      <c r="E22" s="17">
        <v>19716</v>
      </c>
      <c r="F22" s="17">
        <v>0</v>
      </c>
      <c r="G22" s="18">
        <f>IF(AND(F65&lt;&gt;0,0&lt;&gt;0),IF(100*0/(F65-0)&lt;0.005,"*",100*0/(F65-0)),0)</f>
        <v>0</v>
      </c>
    </row>
    <row r="23" spans="1:7" x14ac:dyDescent="0.2">
      <c r="A23" s="11" t="s">
        <v>128</v>
      </c>
      <c r="B23" s="17">
        <v>51515</v>
      </c>
      <c r="C23" s="17">
        <v>2262</v>
      </c>
      <c r="D23" s="17">
        <v>53653</v>
      </c>
      <c r="E23" s="17">
        <v>55915</v>
      </c>
      <c r="F23" s="17">
        <v>0</v>
      </c>
      <c r="G23" s="18">
        <f>IF(AND(F65&lt;&gt;0,0&lt;&gt;0),IF(100*0/(F65-0)&lt;0.005,"*",100*0/(F65-0)),0)</f>
        <v>0</v>
      </c>
    </row>
    <row r="24" spans="1:7" x14ac:dyDescent="0.2">
      <c r="A24" s="11" t="s">
        <v>129</v>
      </c>
      <c r="B24" s="17">
        <v>56123</v>
      </c>
      <c r="C24" s="17">
        <v>2464</v>
      </c>
      <c r="D24" s="17">
        <v>58452</v>
      </c>
      <c r="E24" s="17">
        <v>60916</v>
      </c>
      <c r="F24" s="17">
        <v>0</v>
      </c>
      <c r="G24" s="18">
        <f>IF(AND(F65&lt;&gt;0,0&lt;&gt;0),IF(100*0/(F65-0)&lt;0.005,"*",100*0/(F65-0)),0)</f>
        <v>0</v>
      </c>
    </row>
    <row r="25" spans="1:7" x14ac:dyDescent="0.2">
      <c r="A25" s="11" t="s">
        <v>130</v>
      </c>
      <c r="B25" s="17">
        <v>9051</v>
      </c>
      <c r="C25" s="17">
        <v>397</v>
      </c>
      <c r="D25" s="17">
        <v>9426</v>
      </c>
      <c r="E25" s="17">
        <v>9823</v>
      </c>
      <c r="F25" s="17">
        <v>0</v>
      </c>
      <c r="G25" s="18">
        <f>IF(AND(F65&lt;&gt;0,0&lt;&gt;0),IF(100*0/(F65-0)&lt;0.005,"*",100*0/(F65-0)),0)</f>
        <v>0</v>
      </c>
    </row>
    <row r="26" spans="1:7" x14ac:dyDescent="0.2">
      <c r="A26" s="11" t="s">
        <v>131</v>
      </c>
      <c r="B26" s="17">
        <v>33532</v>
      </c>
      <c r="C26" s="17">
        <v>1472</v>
      </c>
      <c r="D26" s="17">
        <v>34923</v>
      </c>
      <c r="E26" s="17">
        <v>36395</v>
      </c>
      <c r="F26" s="17">
        <v>0</v>
      </c>
      <c r="G26" s="18">
        <f>IF(AND(F65&lt;&gt;0,0&lt;&gt;0),IF(100*0/(F65-0)&lt;0.005,"*",100*0/(F65-0)),0)</f>
        <v>0</v>
      </c>
    </row>
    <row r="27" spans="1:7" x14ac:dyDescent="0.2">
      <c r="A27" s="11" t="s">
        <v>132</v>
      </c>
      <c r="B27" s="17">
        <v>85369</v>
      </c>
      <c r="C27" s="17">
        <v>2748</v>
      </c>
      <c r="D27" s="17">
        <v>88911</v>
      </c>
      <c r="E27" s="17">
        <v>91659</v>
      </c>
      <c r="F27" s="17">
        <v>0</v>
      </c>
      <c r="G27" s="18">
        <f>IF(AND(F65&lt;&gt;0,0&lt;&gt;0),IF(100*0/(F65-0)&lt;0.005,"*",100*0/(F65-0)),0)</f>
        <v>0</v>
      </c>
    </row>
    <row r="28" spans="1:7" x14ac:dyDescent="0.2">
      <c r="A28" s="11" t="s">
        <v>133</v>
      </c>
      <c r="B28" s="17">
        <v>49165</v>
      </c>
      <c r="C28" s="17">
        <v>2159</v>
      </c>
      <c r="D28" s="17">
        <v>51205</v>
      </c>
      <c r="E28" s="17">
        <v>53364</v>
      </c>
      <c r="F28" s="17">
        <v>0</v>
      </c>
      <c r="G28" s="18">
        <f>IF(AND(F65&lt;&gt;0,0&lt;&gt;0),IF(100*0/(F65-0)&lt;0.005,"*",100*0/(F65-0)),0)</f>
        <v>0</v>
      </c>
    </row>
    <row r="29" spans="1:7" x14ac:dyDescent="0.2">
      <c r="A29" s="11" t="s">
        <v>134</v>
      </c>
      <c r="B29" s="17">
        <v>46606</v>
      </c>
      <c r="C29" s="17">
        <v>1946</v>
      </c>
      <c r="D29" s="17">
        <v>48540</v>
      </c>
      <c r="E29" s="17">
        <v>50486</v>
      </c>
      <c r="F29" s="17">
        <v>0</v>
      </c>
      <c r="G29" s="18">
        <f>IF(AND(F65&lt;&gt;0,0&lt;&gt;0),IF(100*0/(F65-0)&lt;0.005,"*",100*0/(F65-0)),0)</f>
        <v>0</v>
      </c>
    </row>
    <row r="30" spans="1:7" x14ac:dyDescent="0.2">
      <c r="A30" s="11" t="s">
        <v>135</v>
      </c>
      <c r="B30" s="17">
        <v>21431</v>
      </c>
      <c r="C30" s="17">
        <v>941</v>
      </c>
      <c r="D30" s="17">
        <v>22320</v>
      </c>
      <c r="E30" s="17">
        <v>23261</v>
      </c>
      <c r="F30" s="17">
        <v>0</v>
      </c>
      <c r="G30" s="18">
        <f>IF(AND(F65&lt;&gt;0,0&lt;&gt;0),IF(100*0/(F65-0)&lt;0.005,"*",100*0/(F65-0)),0)</f>
        <v>0</v>
      </c>
    </row>
    <row r="31" spans="1:7" x14ac:dyDescent="0.2">
      <c r="A31" s="11" t="s">
        <v>136</v>
      </c>
      <c r="B31" s="17">
        <v>39636</v>
      </c>
      <c r="C31" s="17">
        <v>1440</v>
      </c>
      <c r="D31" s="17">
        <v>41280</v>
      </c>
      <c r="E31" s="17">
        <v>42720</v>
      </c>
      <c r="F31" s="17">
        <v>0</v>
      </c>
      <c r="G31" s="18">
        <f>IF(AND(F65&lt;&gt;0,0&lt;&gt;0),IF(100*0/(F65-0)&lt;0.005,"*",100*0/(F65-0)),0)</f>
        <v>0</v>
      </c>
    </row>
    <row r="32" spans="1:7" x14ac:dyDescent="0.2">
      <c r="A32" s="11" t="s">
        <v>137</v>
      </c>
      <c r="B32" s="17">
        <v>4436</v>
      </c>
      <c r="C32" s="17">
        <v>195</v>
      </c>
      <c r="D32" s="17">
        <v>4621</v>
      </c>
      <c r="E32" s="17">
        <v>4816</v>
      </c>
      <c r="F32" s="17">
        <v>0</v>
      </c>
      <c r="G32" s="18">
        <f>IF(AND(F65&lt;&gt;0,0&lt;&gt;0),IF(100*0/(F65-0)&lt;0.005,"*",100*0/(F65-0)),0)</f>
        <v>0</v>
      </c>
    </row>
    <row r="33" spans="1:7" x14ac:dyDescent="0.2">
      <c r="A33" s="11" t="s">
        <v>138</v>
      </c>
      <c r="B33" s="17">
        <v>14796</v>
      </c>
      <c r="C33" s="17">
        <v>650</v>
      </c>
      <c r="D33" s="17">
        <v>15410</v>
      </c>
      <c r="E33" s="17">
        <v>16060</v>
      </c>
      <c r="F33" s="17">
        <v>0</v>
      </c>
      <c r="G33" s="18">
        <f>IF(AND(F65&lt;&gt;0,0&lt;&gt;0),IF(100*0/(F65-0)&lt;0.005,"*",100*0/(F65-0)),0)</f>
        <v>0</v>
      </c>
    </row>
    <row r="34" spans="1:7" x14ac:dyDescent="0.2">
      <c r="A34" s="11" t="s">
        <v>139</v>
      </c>
      <c r="B34" s="17">
        <v>6361</v>
      </c>
      <c r="C34" s="17">
        <v>279</v>
      </c>
      <c r="D34" s="17">
        <v>6625</v>
      </c>
      <c r="E34" s="17">
        <v>6904</v>
      </c>
      <c r="F34" s="17">
        <v>0</v>
      </c>
      <c r="G34" s="18">
        <f>IF(AND(F65&lt;&gt;0,0&lt;&gt;0),IF(100*0/(F65-0)&lt;0.005,"*",100*0/(F65-0)),0)</f>
        <v>0</v>
      </c>
    </row>
    <row r="35" spans="1:7" x14ac:dyDescent="0.2">
      <c r="A35" s="11" t="s">
        <v>140</v>
      </c>
      <c r="B35" s="17">
        <v>10558</v>
      </c>
      <c r="C35" s="17">
        <v>263</v>
      </c>
      <c r="D35" s="17">
        <v>10996</v>
      </c>
      <c r="E35" s="17">
        <v>11259</v>
      </c>
      <c r="F35" s="17">
        <v>0</v>
      </c>
      <c r="G35" s="18">
        <f>IF(AND(F65&lt;&gt;0,0&lt;&gt;0),IF(100*0/(F65-0)&lt;0.005,"*",100*0/(F65-0)),0)</f>
        <v>0</v>
      </c>
    </row>
    <row r="36" spans="1:7" x14ac:dyDescent="0.2">
      <c r="A36" s="11" t="s">
        <v>141</v>
      </c>
      <c r="B36" s="17">
        <v>88748</v>
      </c>
      <c r="C36" s="17">
        <v>2897</v>
      </c>
      <c r="D36" s="17">
        <v>92431</v>
      </c>
      <c r="E36" s="17">
        <v>95328</v>
      </c>
      <c r="F36" s="17">
        <v>0</v>
      </c>
      <c r="G36" s="18">
        <f>IF(AND(F65&lt;&gt;0,0&lt;&gt;0),IF(100*0/(F65-0)&lt;0.005,"*",100*0/(F65-0)),0)</f>
        <v>0</v>
      </c>
    </row>
    <row r="37" spans="1:7" x14ac:dyDescent="0.2">
      <c r="A37" s="11" t="s">
        <v>142</v>
      </c>
      <c r="B37" s="17">
        <v>10149</v>
      </c>
      <c r="C37" s="17">
        <v>435</v>
      </c>
      <c r="D37" s="17">
        <v>10570</v>
      </c>
      <c r="E37" s="17">
        <v>11005</v>
      </c>
      <c r="F37" s="17">
        <v>0</v>
      </c>
      <c r="G37" s="18">
        <f>IF(AND(F65&lt;&gt;0,0&lt;&gt;0),IF(100*0/(F65-0)&lt;0.005,"*",100*0/(F65-0)),0)</f>
        <v>0</v>
      </c>
    </row>
    <row r="38" spans="1:7" x14ac:dyDescent="0.2">
      <c r="A38" s="11" t="s">
        <v>143</v>
      </c>
      <c r="B38" s="17">
        <v>637979</v>
      </c>
      <c r="C38" s="17">
        <v>25011</v>
      </c>
      <c r="D38" s="17">
        <v>664451</v>
      </c>
      <c r="E38" s="17">
        <v>689462</v>
      </c>
      <c r="F38" s="17">
        <v>0</v>
      </c>
      <c r="G38" s="18">
        <f>IF(AND(F65&lt;&gt;0,0&lt;&gt;0),IF(100*0/(F65-0)&lt;0.005,"*",100*0/(F65-0)),0)</f>
        <v>0</v>
      </c>
    </row>
    <row r="39" spans="1:7" x14ac:dyDescent="0.2">
      <c r="A39" s="11" t="s">
        <v>144</v>
      </c>
      <c r="B39" s="17">
        <v>65692</v>
      </c>
      <c r="C39" s="17">
        <v>2884</v>
      </c>
      <c r="D39" s="17">
        <v>68418</v>
      </c>
      <c r="E39" s="17">
        <v>71302</v>
      </c>
      <c r="F39" s="17">
        <v>0</v>
      </c>
      <c r="G39" s="18">
        <f>IF(AND(F65&lt;&gt;0,0&lt;&gt;0),IF(100*0/(F65-0)&lt;0.005,"*",100*0/(F65-0)),0)</f>
        <v>0</v>
      </c>
    </row>
    <row r="40" spans="1:7" x14ac:dyDescent="0.2">
      <c r="A40" s="11" t="s">
        <v>145</v>
      </c>
      <c r="B40" s="17">
        <v>3364</v>
      </c>
      <c r="C40" s="17">
        <v>147</v>
      </c>
      <c r="D40" s="17">
        <v>3504</v>
      </c>
      <c r="E40" s="17">
        <v>3651</v>
      </c>
      <c r="F40" s="17">
        <v>0</v>
      </c>
      <c r="G40" s="18">
        <f>IF(AND(F65&lt;&gt;0,0&lt;&gt;0),IF(100*0/(F65-0)&lt;0.005,"*",100*0/(F65-0)),0)</f>
        <v>0</v>
      </c>
    </row>
    <row r="41" spans="1:7" x14ac:dyDescent="0.2">
      <c r="A41" s="11" t="s">
        <v>146</v>
      </c>
      <c r="B41" s="17">
        <v>107602</v>
      </c>
      <c r="C41" s="17">
        <v>3725</v>
      </c>
      <c r="D41" s="17">
        <v>112067</v>
      </c>
      <c r="E41" s="17">
        <v>115792</v>
      </c>
      <c r="F41" s="17">
        <v>0</v>
      </c>
      <c r="G41" s="18">
        <f>IF(AND(F65&lt;&gt;0,0&lt;&gt;0),IF(100*0/(F65-0)&lt;0.005,"*",100*0/(F65-0)),0)</f>
        <v>0</v>
      </c>
    </row>
    <row r="42" spans="1:7" x14ac:dyDescent="0.2">
      <c r="A42" s="11" t="s">
        <v>147</v>
      </c>
      <c r="B42" s="17">
        <v>26036</v>
      </c>
      <c r="C42" s="17">
        <v>1143</v>
      </c>
      <c r="D42" s="17">
        <v>27117</v>
      </c>
      <c r="E42" s="17">
        <v>28260</v>
      </c>
      <c r="F42" s="17">
        <v>0</v>
      </c>
      <c r="G42" s="18">
        <f>IF(AND(F65&lt;&gt;0,0&lt;&gt;0),IF(100*0/(F65-0)&lt;0.005,"*",100*0/(F65-0)),0)</f>
        <v>0</v>
      </c>
    </row>
    <row r="43" spans="1:7" x14ac:dyDescent="0.2">
      <c r="A43" s="11" t="s">
        <v>148</v>
      </c>
      <c r="B43" s="17">
        <v>10540</v>
      </c>
      <c r="C43" s="17">
        <v>463</v>
      </c>
      <c r="D43" s="17">
        <v>10978</v>
      </c>
      <c r="E43" s="17">
        <v>11441</v>
      </c>
      <c r="F43" s="17">
        <v>0</v>
      </c>
      <c r="G43" s="18">
        <f>IF(AND(F65&lt;&gt;0,0&lt;&gt;0),IF(100*0/(F65-0)&lt;0.005,"*",100*0/(F65-0)),0)</f>
        <v>0</v>
      </c>
    </row>
    <row r="44" spans="1:7" x14ac:dyDescent="0.2">
      <c r="A44" s="11" t="s">
        <v>149</v>
      </c>
      <c r="B44" s="17">
        <v>165836</v>
      </c>
      <c r="C44" s="17">
        <v>5781</v>
      </c>
      <c r="D44" s="17">
        <v>172718</v>
      </c>
      <c r="E44" s="17">
        <v>178499</v>
      </c>
      <c r="F44" s="17">
        <v>0</v>
      </c>
      <c r="G44" s="18">
        <f>IF(AND(F65&lt;&gt;0,0&lt;&gt;0),IF(100*0/(F65-0)&lt;0.005,"*",100*0/(F65-0)),0)</f>
        <v>0</v>
      </c>
    </row>
    <row r="45" spans="1:7" x14ac:dyDescent="0.2">
      <c r="A45" s="11" t="s">
        <v>150</v>
      </c>
      <c r="B45" s="17">
        <v>22609</v>
      </c>
      <c r="C45" s="17">
        <v>892</v>
      </c>
      <c r="D45" s="17">
        <v>23548</v>
      </c>
      <c r="E45" s="17">
        <v>24440</v>
      </c>
      <c r="F45" s="17">
        <v>0</v>
      </c>
      <c r="G45" s="18">
        <f>IF(AND(F65&lt;&gt;0,0&lt;&gt;0),IF(100*0/(F65-0)&lt;0.005,"*",100*0/(F65-0)),0)</f>
        <v>0</v>
      </c>
    </row>
    <row r="46" spans="1:7" x14ac:dyDescent="0.2">
      <c r="A46" s="11" t="s">
        <v>151</v>
      </c>
      <c r="B46" s="17">
        <v>31693</v>
      </c>
      <c r="C46" s="17">
        <v>1192</v>
      </c>
      <c r="D46" s="17">
        <v>33008</v>
      </c>
      <c r="E46" s="17">
        <v>34200</v>
      </c>
      <c r="F46" s="17">
        <v>0</v>
      </c>
      <c r="G46" s="18">
        <f>IF(AND(F65&lt;&gt;0,0&lt;&gt;0),IF(100*0/(F65-0)&lt;0.005,"*",100*0/(F65-0)),0)</f>
        <v>0</v>
      </c>
    </row>
    <row r="47" spans="1:7" x14ac:dyDescent="0.2">
      <c r="A47" s="11" t="s">
        <v>152</v>
      </c>
      <c r="B47" s="17">
        <v>2739</v>
      </c>
      <c r="C47" s="17">
        <v>121</v>
      </c>
      <c r="D47" s="17">
        <v>2853</v>
      </c>
      <c r="E47" s="17">
        <v>2974</v>
      </c>
      <c r="F47" s="17">
        <v>0</v>
      </c>
      <c r="G47" s="18">
        <f>IF(AND(F65&lt;&gt;0,0&lt;&gt;0),IF(100*0/(F65-0)&lt;0.005,"*",100*0/(F65-0)),0)</f>
        <v>0</v>
      </c>
    </row>
    <row r="48" spans="1:7" x14ac:dyDescent="0.2">
      <c r="A48" s="11" t="s">
        <v>153</v>
      </c>
      <c r="B48" s="17">
        <v>61306</v>
      </c>
      <c r="C48" s="17">
        <v>2491</v>
      </c>
      <c r="D48" s="17">
        <v>63850</v>
      </c>
      <c r="E48" s="17">
        <v>66341</v>
      </c>
      <c r="F48" s="17">
        <v>0</v>
      </c>
      <c r="G48" s="18">
        <f>IF(AND(F65&lt;&gt;0,0&lt;&gt;0),IF(100*0/(F65-0)&lt;0.005,"*",100*0/(F65-0)),0)</f>
        <v>0</v>
      </c>
    </row>
    <row r="49" spans="1:7" x14ac:dyDescent="0.2">
      <c r="A49" s="11" t="s">
        <v>154</v>
      </c>
      <c r="B49" s="17">
        <v>106649</v>
      </c>
      <c r="C49" s="17">
        <v>4183</v>
      </c>
      <c r="D49" s="17">
        <v>111075</v>
      </c>
      <c r="E49" s="17">
        <v>115258</v>
      </c>
      <c r="F49" s="17">
        <v>0</v>
      </c>
      <c r="G49" s="18">
        <f>IF(AND(F65&lt;&gt;0,0&lt;&gt;0),IF(100*0/(F65-0)&lt;0.005,"*",100*0/(F65-0)),0)</f>
        <v>0</v>
      </c>
    </row>
    <row r="50" spans="1:7" x14ac:dyDescent="0.2">
      <c r="A50" s="11" t="s">
        <v>155</v>
      </c>
      <c r="B50" s="17">
        <v>3847</v>
      </c>
      <c r="C50" s="17">
        <v>169</v>
      </c>
      <c r="D50" s="17">
        <v>4007</v>
      </c>
      <c r="E50" s="17">
        <v>4176</v>
      </c>
      <c r="F50" s="17">
        <v>0</v>
      </c>
      <c r="G50" s="18">
        <f>IF(AND(F65&lt;&gt;0,0&lt;&gt;0),IF(100*0/(F65-0)&lt;0.005,"*",100*0/(F65-0)),0)</f>
        <v>0</v>
      </c>
    </row>
    <row r="51" spans="1:7" x14ac:dyDescent="0.2">
      <c r="A51" s="11" t="s">
        <v>156</v>
      </c>
      <c r="B51" s="17">
        <v>2697</v>
      </c>
      <c r="C51" s="17">
        <v>118</v>
      </c>
      <c r="D51" s="17">
        <v>2809</v>
      </c>
      <c r="E51" s="17">
        <v>2927</v>
      </c>
      <c r="F51" s="17">
        <v>0</v>
      </c>
      <c r="G51" s="18">
        <f>IF(AND(F65&lt;&gt;0,0&lt;&gt;0),IF(100*0/(F65-0)&lt;0.005,"*",100*0/(F65-0)),0)</f>
        <v>0</v>
      </c>
    </row>
    <row r="52" spans="1:7" x14ac:dyDescent="0.2">
      <c r="A52" s="11" t="s">
        <v>157</v>
      </c>
      <c r="B52" s="17">
        <v>45410</v>
      </c>
      <c r="C52" s="17">
        <v>1794</v>
      </c>
      <c r="D52" s="17">
        <v>47294</v>
      </c>
      <c r="E52" s="17">
        <v>49088</v>
      </c>
      <c r="F52" s="17">
        <v>0</v>
      </c>
      <c r="G52" s="18">
        <f>IF(AND(F65&lt;&gt;0,0&lt;&gt;0),IF(100*0/(F65-0)&lt;0.005,"*",100*0/(F65-0)),0)</f>
        <v>0</v>
      </c>
    </row>
    <row r="53" spans="1:7" x14ac:dyDescent="0.2">
      <c r="A53" s="11" t="s">
        <v>158</v>
      </c>
      <c r="B53" s="17">
        <v>31750</v>
      </c>
      <c r="C53" s="17">
        <v>1394</v>
      </c>
      <c r="D53" s="17">
        <v>33068</v>
      </c>
      <c r="E53" s="17">
        <v>34462</v>
      </c>
      <c r="F53" s="17">
        <v>0</v>
      </c>
      <c r="G53" s="18">
        <f>IF(AND(F65&lt;&gt;0,0&lt;&gt;0),IF(100*0/(F65-0)&lt;0.005,"*",100*0/(F65-0)),0)</f>
        <v>0</v>
      </c>
    </row>
    <row r="54" spans="1:7" x14ac:dyDescent="0.2">
      <c r="A54" s="11" t="s">
        <v>159</v>
      </c>
      <c r="B54" s="17">
        <v>14139</v>
      </c>
      <c r="C54" s="17">
        <v>621</v>
      </c>
      <c r="D54" s="17">
        <v>14726</v>
      </c>
      <c r="E54" s="17">
        <v>15347</v>
      </c>
      <c r="F54" s="17">
        <v>0</v>
      </c>
      <c r="G54" s="18">
        <f>IF(AND(F65&lt;&gt;0,0&lt;&gt;0),IF(100*0/(F65-0)&lt;0.005,"*",100*0/(F65-0)),0)</f>
        <v>0</v>
      </c>
    </row>
    <row r="55" spans="1:7" x14ac:dyDescent="0.2">
      <c r="A55" s="11" t="s">
        <v>160</v>
      </c>
      <c r="B55" s="17">
        <v>24844</v>
      </c>
      <c r="C55" s="17">
        <v>890</v>
      </c>
      <c r="D55" s="17">
        <v>25875</v>
      </c>
      <c r="E55" s="17">
        <v>26765</v>
      </c>
      <c r="F55" s="17">
        <v>0</v>
      </c>
      <c r="G55" s="18">
        <f>IF(AND(F65&lt;&gt;0,0&lt;&gt;0),IF(100*0/(F65-0)&lt;0.005,"*",100*0/(F65-0)),0)</f>
        <v>0</v>
      </c>
    </row>
    <row r="56" spans="1:7" x14ac:dyDescent="0.2">
      <c r="A56" s="11" t="s">
        <v>161</v>
      </c>
      <c r="B56" s="17">
        <v>1473</v>
      </c>
      <c r="C56" s="17">
        <v>66</v>
      </c>
      <c r="D56" s="17">
        <v>1534</v>
      </c>
      <c r="E56" s="17">
        <v>1600</v>
      </c>
      <c r="F56" s="17">
        <v>0</v>
      </c>
      <c r="G56" s="18">
        <f>IF(AND(F65&lt;&gt;0,0&lt;&gt;0),IF(100*0/(F65-0)&lt;0.005,"*",100*0/(F65-0)),0)</f>
        <v>0</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2306</v>
      </c>
      <c r="C58" s="17">
        <v>102</v>
      </c>
      <c r="D58" s="17">
        <v>2402</v>
      </c>
      <c r="E58" s="17">
        <v>2504</v>
      </c>
      <c r="F58" s="17">
        <v>0</v>
      </c>
      <c r="G58" s="18">
        <f>IF(AND(F65&lt;&gt;0,0&lt;&gt;0),IF(100*0/(F65-0)&lt;0.005,"*",100*0/(F65-0)),0)</f>
        <v>0</v>
      </c>
    </row>
    <row r="59" spans="1:7" x14ac:dyDescent="0.2">
      <c r="A59" s="11" t="s">
        <v>164</v>
      </c>
      <c r="B59" s="17">
        <v>0</v>
      </c>
      <c r="C59" s="17">
        <v>0</v>
      </c>
      <c r="D59" s="17">
        <v>0</v>
      </c>
      <c r="E59" s="17">
        <v>0</v>
      </c>
      <c r="F59" s="17">
        <v>0</v>
      </c>
      <c r="G59" s="18">
        <f>IF(AND(F65&lt;&gt;0,0&lt;&gt;0),IF(100*0/(F65-0)&lt;0.005,"*",100*0/(F65-0)),0)</f>
        <v>0</v>
      </c>
    </row>
    <row r="60" spans="1:7" x14ac:dyDescent="0.2">
      <c r="A60" s="11" t="s">
        <v>165</v>
      </c>
      <c r="B60" s="17">
        <v>154393</v>
      </c>
      <c r="C60" s="17">
        <v>6278</v>
      </c>
      <c r="D60" s="17">
        <v>161268</v>
      </c>
      <c r="E60" s="17">
        <v>167546</v>
      </c>
      <c r="F60" s="17">
        <v>0</v>
      </c>
      <c r="G60" s="18">
        <f>IF(AND(F65&lt;&gt;0,0&lt;&gt;0),IF(100*0/(F65-0)&lt;0.005,"*",100*0/(F65-0)),0)</f>
        <v>0</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10352</v>
      </c>
      <c r="C62" s="17">
        <v>455</v>
      </c>
      <c r="D62" s="17">
        <v>10781</v>
      </c>
      <c r="E62" s="17">
        <v>11236</v>
      </c>
      <c r="F62" s="17">
        <v>0</v>
      </c>
      <c r="G62" s="18">
        <f>IF(AND(F65&lt;&gt;0,0&lt;&gt;0),IF(100*0/(F65-0)&lt;0.005,"*",100*0/(F65-0)),0)</f>
        <v>0</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0</v>
      </c>
      <c r="C64" s="17">
        <v>0</v>
      </c>
      <c r="D64" s="17">
        <v>0</v>
      </c>
      <c r="E64" s="17">
        <v>0</v>
      </c>
      <c r="F64" s="17">
        <v>0</v>
      </c>
      <c r="G64" s="18">
        <v>0</v>
      </c>
    </row>
    <row r="65" spans="1:7" ht="15" customHeight="1" x14ac:dyDescent="0.2">
      <c r="A65" s="19" t="s">
        <v>110</v>
      </c>
      <c r="B65" s="20">
        <f>83331+3021+10433+23940+92643+17014+36539+6593+20751+70369+88299+13681+1573+138498+32419+7701+18165+51515+56123+9051+33532+85369+49165+46606+21431+39636+4436+14796+6361+10558+88748+10149+637979+65692+3364+107602+26036+10540+165836+22609+31693+2739+61306+106649+3847+2697+45410+31750+14139+24844+1473+0+2306+0+154393+0+10352+0+0+0</f>
        <v>2725702</v>
      </c>
      <c r="C65" s="20">
        <f>2658+133+458+1051+3068+747+1605+290+911+2590+2876+601+69+5081+1423+339+797+2262+2464+397+1472+2748+2159+1946+941+1440+195+650+279+263+2897+435+25011+2884+147+3725+1143+463+5781+892+1192+121+2491+4183+169+118+1794+1394+621+890+66+0+102+0+6278+0+455+0+0+0</f>
        <v>105165</v>
      </c>
      <c r="D65" s="20">
        <f>86789+3146+10866+24934+96487+17720+38056+6866+21612+73289+91962+14248+1639+144245+33764+8020+18919+53653+58452+9426+34923+88911+51205+48540+22320+41280+4621+15410+6625+10996+92431+10570+664451+68418+3504+112067+27117+10978+172718+23548+33008+2853+63850+111075+4007+2809+47294+33068+14726+25875+1534+0+2402+0+161268+0+10781+0+0+0</f>
        <v>2839276</v>
      </c>
      <c r="E65" s="20">
        <f>SUM(C65:D65)</f>
        <v>2944441</v>
      </c>
      <c r="F65" s="20">
        <f>0+0+0+0+0+0+0+0+0+0+0+0+0+0+0+0+0+0+0+0+0+0+0+0+0+0+0+0+0+0+0+0+0+0+0+0+0+0+0+0+0+0+0+0+0+0+0+0+0+0+0+0+0+0+0+0+0+0+0+0</f>
        <v>0</v>
      </c>
      <c r="G65" s="23" t="s">
        <v>189</v>
      </c>
    </row>
    <row r="66" spans="1:7" ht="15" customHeight="1" x14ac:dyDescent="0.2">
      <c r="A66" s="74" t="s">
        <v>171</v>
      </c>
      <c r="B66" s="74"/>
      <c r="C66" s="74"/>
      <c r="D66" s="74"/>
      <c r="E66" s="74"/>
      <c r="F66" s="74"/>
      <c r="G66" s="74"/>
    </row>
  </sheetData>
  <mergeCells count="5">
    <mergeCell ref="A4:A5"/>
    <mergeCell ref="B4:B5"/>
    <mergeCell ref="F4:F5"/>
    <mergeCell ref="G4:G5"/>
    <mergeCell ref="A66:G6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2" t="s">
        <v>387</v>
      </c>
      <c r="B1" s="10"/>
      <c r="C1" s="10"/>
      <c r="D1" s="10"/>
      <c r="E1" s="10"/>
      <c r="F1" s="10"/>
      <c r="G1" s="12" t="s">
        <v>388</v>
      </c>
    </row>
    <row r="2" spans="1:7" x14ac:dyDescent="0.2">
      <c r="A2" s="13" t="s">
        <v>389</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25434</v>
      </c>
      <c r="C6" s="17">
        <v>6</v>
      </c>
      <c r="D6" s="17">
        <v>25454</v>
      </c>
      <c r="E6" s="17">
        <v>25460</v>
      </c>
      <c r="F6" s="17">
        <v>26329</v>
      </c>
      <c r="G6" s="18">
        <f>IF(AND(F67&lt;&gt;0,26329&lt;&gt;0),IF(100*26329/(F67-0)&lt;0.005,"*",100*26329/(F67-0)),0)</f>
        <v>1.0761086629015737</v>
      </c>
    </row>
    <row r="7" spans="1:7" x14ac:dyDescent="0.2">
      <c r="A7" s="11" t="s">
        <v>112</v>
      </c>
      <c r="B7" s="17">
        <v>21701</v>
      </c>
      <c r="C7" s="17">
        <v>0</v>
      </c>
      <c r="D7" s="17">
        <v>21712</v>
      </c>
      <c r="E7" s="17">
        <v>21712</v>
      </c>
      <c r="F7" s="17">
        <v>22458</v>
      </c>
      <c r="G7" s="18">
        <f>IF(AND(F67&lt;&gt;0,22458&lt;&gt;0),IF(100*22458/(F67-0)&lt;0.005,"*",100*22458/(F67-0)),0)</f>
        <v>0.91789465423842698</v>
      </c>
    </row>
    <row r="8" spans="1:7" x14ac:dyDescent="0.2">
      <c r="A8" s="11" t="s">
        <v>113</v>
      </c>
      <c r="B8" s="17">
        <v>32298</v>
      </c>
      <c r="C8" s="17">
        <v>206</v>
      </c>
      <c r="D8" s="17">
        <v>32521</v>
      </c>
      <c r="E8" s="17">
        <v>32727</v>
      </c>
      <c r="F8" s="17">
        <v>33638</v>
      </c>
      <c r="G8" s="18">
        <f>IF(AND(F67&lt;&gt;0,33638&lt;&gt;0),IF(100*33638/(F67-0)&lt;0.005,"*",100*33638/(F67-0)),0)</f>
        <v>1.3748392723872209</v>
      </c>
    </row>
    <row r="9" spans="1:7" x14ac:dyDescent="0.2">
      <c r="A9" s="11" t="s">
        <v>114</v>
      </c>
      <c r="B9" s="17">
        <v>17703</v>
      </c>
      <c r="C9" s="17">
        <v>2</v>
      </c>
      <c r="D9" s="17">
        <v>17714</v>
      </c>
      <c r="E9" s="17">
        <v>17716</v>
      </c>
      <c r="F9" s="17">
        <v>18323</v>
      </c>
      <c r="G9" s="18">
        <f>IF(AND(F67&lt;&gt;0,18323&lt;&gt;0),IF(100*18323/(F67-0)&lt;0.005,"*",100*18323/(F67-0)),0)</f>
        <v>0.74889054010199918</v>
      </c>
    </row>
    <row r="10" spans="1:7" x14ac:dyDescent="0.2">
      <c r="A10" s="11" t="s">
        <v>115</v>
      </c>
      <c r="B10" s="17">
        <v>328239</v>
      </c>
      <c r="C10" s="17">
        <v>1438</v>
      </c>
      <c r="D10" s="17">
        <v>329853</v>
      </c>
      <c r="E10" s="17">
        <v>331291</v>
      </c>
      <c r="F10" s="17">
        <v>341184</v>
      </c>
      <c r="G10" s="18">
        <f>IF(AND(F67&lt;&gt;0,341184&lt;&gt;0),IF(100*341184/(F67-0)&lt;0.005,"*",100*341184/(F67-0)),0)</f>
        <v>13.944739946196611</v>
      </c>
    </row>
    <row r="11" spans="1:7" x14ac:dyDescent="0.2">
      <c r="A11" s="11" t="s">
        <v>116</v>
      </c>
      <c r="B11" s="17">
        <v>33363</v>
      </c>
      <c r="C11" s="17">
        <v>2</v>
      </c>
      <c r="D11" s="17">
        <v>33382</v>
      </c>
      <c r="E11" s="17">
        <v>33384</v>
      </c>
      <c r="F11" s="17">
        <v>34529</v>
      </c>
      <c r="G11" s="18">
        <f>IF(AND(F67&lt;&gt;0,34529&lt;&gt;0),IF(100*34529/(F67-0)&lt;0.005,"*",100*34529/(F67-0)),0)</f>
        <v>1.4112558783595444</v>
      </c>
    </row>
    <row r="12" spans="1:7" x14ac:dyDescent="0.2">
      <c r="A12" s="11" t="s">
        <v>117</v>
      </c>
      <c r="B12" s="17">
        <v>43462</v>
      </c>
      <c r="C12" s="17">
        <v>444</v>
      </c>
      <c r="D12" s="17">
        <v>43929</v>
      </c>
      <c r="E12" s="17">
        <v>44373</v>
      </c>
      <c r="F12" s="17">
        <v>45438</v>
      </c>
      <c r="G12" s="18">
        <f>IF(AND(F67&lt;&gt;0,45438&lt;&gt;0),IF(100*45438/(F67-0)&lt;0.005,"*",100*45438/(F67-0)),0)</f>
        <v>1.8571242897535687</v>
      </c>
    </row>
    <row r="13" spans="1:7" x14ac:dyDescent="0.2">
      <c r="A13" s="11" t="s">
        <v>118</v>
      </c>
      <c r="B13" s="17">
        <v>7919</v>
      </c>
      <c r="C13" s="17">
        <v>0</v>
      </c>
      <c r="D13" s="17">
        <v>7923</v>
      </c>
      <c r="E13" s="17">
        <v>7923</v>
      </c>
      <c r="F13" s="17">
        <v>8195</v>
      </c>
      <c r="G13" s="18">
        <f>IF(AND(F67&lt;&gt;0,8195&lt;&gt;0),IF(100*8195/(F67-0)&lt;0.005,"*",100*8195/(F67-0)),0)</f>
        <v>0.33494285739976443</v>
      </c>
    </row>
    <row r="14" spans="1:7" x14ac:dyDescent="0.2">
      <c r="A14" s="11" t="s">
        <v>119</v>
      </c>
      <c r="B14" s="17">
        <v>9309</v>
      </c>
      <c r="C14" s="17">
        <v>53</v>
      </c>
      <c r="D14" s="17">
        <v>9368</v>
      </c>
      <c r="E14" s="17">
        <v>9421</v>
      </c>
      <c r="F14" s="17">
        <v>9690</v>
      </c>
      <c r="G14" s="18">
        <f>IF(AND(F67&lt;&gt;0,9690&lt;&gt;0),IF(100*9690/(F67-0)&lt;0.005,"*",100*9690/(F67-0)),0)</f>
        <v>0.39604591680338219</v>
      </c>
    </row>
    <row r="15" spans="1:7" x14ac:dyDescent="0.2">
      <c r="A15" s="11" t="s">
        <v>120</v>
      </c>
      <c r="B15" s="17">
        <v>76977</v>
      </c>
      <c r="C15" s="17">
        <v>10</v>
      </c>
      <c r="D15" s="17">
        <v>77027</v>
      </c>
      <c r="E15" s="17">
        <v>77037</v>
      </c>
      <c r="F15" s="17">
        <v>79673</v>
      </c>
      <c r="G15" s="18">
        <f>IF(AND(F67&lt;&gt;0,79673&lt;&gt;0),IF(100*79673/(F67-0)&lt;0.005,"*",100*79673/(F67-0)),0)</f>
        <v>3.2563639142905956</v>
      </c>
    </row>
    <row r="16" spans="1:7" x14ac:dyDescent="0.2">
      <c r="A16" s="11" t="s">
        <v>121</v>
      </c>
      <c r="B16" s="17">
        <v>56377</v>
      </c>
      <c r="C16" s="17">
        <v>10</v>
      </c>
      <c r="D16" s="17">
        <v>56416</v>
      </c>
      <c r="E16" s="17">
        <v>56426</v>
      </c>
      <c r="F16" s="17">
        <v>58354</v>
      </c>
      <c r="G16" s="18">
        <f>IF(AND(F67&lt;&gt;0,58354&lt;&gt;0),IF(100*58354/(F67-0)&lt;0.005,"*",100*58354/(F67-0)),0)</f>
        <v>2.3850220257115136</v>
      </c>
    </row>
    <row r="17" spans="1:7" x14ac:dyDescent="0.2">
      <c r="A17" s="11" t="s">
        <v>122</v>
      </c>
      <c r="B17" s="17">
        <v>12898</v>
      </c>
      <c r="C17" s="17">
        <v>66</v>
      </c>
      <c r="D17" s="17">
        <v>12971</v>
      </c>
      <c r="E17" s="17">
        <v>13037</v>
      </c>
      <c r="F17" s="17">
        <v>13417</v>
      </c>
      <c r="G17" s="18">
        <f>IF(AND(F67&lt;&gt;0,13417&lt;&gt;0),IF(100*13417/(F67-0)&lt;0.005,"*",100*13417/(F67-0)),0)</f>
        <v>0.54837441339019388</v>
      </c>
    </row>
    <row r="18" spans="1:7" x14ac:dyDescent="0.2">
      <c r="A18" s="11" t="s">
        <v>123</v>
      </c>
      <c r="B18" s="17">
        <v>13309</v>
      </c>
      <c r="C18" s="17">
        <v>0</v>
      </c>
      <c r="D18" s="17">
        <v>13316</v>
      </c>
      <c r="E18" s="17">
        <v>13316</v>
      </c>
      <c r="F18" s="17">
        <v>13774</v>
      </c>
      <c r="G18" s="18">
        <f>IF(AND(F67&lt;&gt;0,13774&lt;&gt;0),IF(100*13774/(F67-0)&lt;0.005,"*",100*13774/(F67-0)),0)</f>
        <v>0.56296557874610798</v>
      </c>
    </row>
    <row r="19" spans="1:7" x14ac:dyDescent="0.2">
      <c r="A19" s="11" t="s">
        <v>124</v>
      </c>
      <c r="B19" s="17">
        <v>140726</v>
      </c>
      <c r="C19" s="17">
        <v>10</v>
      </c>
      <c r="D19" s="17">
        <v>140810</v>
      </c>
      <c r="E19" s="17">
        <v>140820</v>
      </c>
      <c r="F19" s="17">
        <v>145648</v>
      </c>
      <c r="G19" s="18">
        <f>IF(AND(F67&lt;&gt;0,145648&lt;&gt;0),IF(100*145648/(F67-0)&lt;0.005,"*",100*145648/(F67-0)),0)</f>
        <v>5.9528684923198156</v>
      </c>
    </row>
    <row r="20" spans="1:7" x14ac:dyDescent="0.2">
      <c r="A20" s="11" t="s">
        <v>125</v>
      </c>
      <c r="B20" s="17">
        <v>33200</v>
      </c>
      <c r="C20" s="17">
        <v>162</v>
      </c>
      <c r="D20" s="17">
        <v>33379</v>
      </c>
      <c r="E20" s="17">
        <v>33541</v>
      </c>
      <c r="F20" s="17">
        <v>34526</v>
      </c>
      <c r="G20" s="18">
        <f>IF(AND(F67&lt;&gt;0,34526&lt;&gt;0),IF(100*34526/(F67-0)&lt;0.005,"*",100*34526/(F67-0)),0)</f>
        <v>1.4111332635246205</v>
      </c>
    </row>
    <row r="21" spans="1:7" x14ac:dyDescent="0.2">
      <c r="A21" s="11" t="s">
        <v>126</v>
      </c>
      <c r="B21" s="17">
        <v>25153</v>
      </c>
      <c r="C21" s="17">
        <v>5</v>
      </c>
      <c r="D21" s="17">
        <v>25171</v>
      </c>
      <c r="E21" s="17">
        <v>25176</v>
      </c>
      <c r="F21" s="17">
        <v>26036</v>
      </c>
      <c r="G21" s="18">
        <f>IF(AND(F67&lt;&gt;0,26036&lt;&gt;0),IF(100*26036/(F67-0)&lt;0.005,"*",100*26036/(F67-0)),0)</f>
        <v>1.0641332806906976</v>
      </c>
    </row>
    <row r="22" spans="1:7" x14ac:dyDescent="0.2">
      <c r="A22" s="11" t="s">
        <v>127</v>
      </c>
      <c r="B22" s="17">
        <v>16616</v>
      </c>
      <c r="C22" s="17">
        <v>1</v>
      </c>
      <c r="D22" s="17">
        <v>16626</v>
      </c>
      <c r="E22" s="17">
        <v>16627</v>
      </c>
      <c r="F22" s="17">
        <v>17197</v>
      </c>
      <c r="G22" s="18">
        <f>IF(AND(F67&lt;&gt;0,17197&lt;&gt;0),IF(100*17197/(F67-0)&lt;0.005,"*",100*17197/(F67-0)),0)</f>
        <v>0.70286910539399006</v>
      </c>
    </row>
    <row r="23" spans="1:7" x14ac:dyDescent="0.2">
      <c r="A23" s="11" t="s">
        <v>128</v>
      </c>
      <c r="B23" s="17">
        <v>25131</v>
      </c>
      <c r="C23" s="17">
        <v>86</v>
      </c>
      <c r="D23" s="17">
        <v>25230</v>
      </c>
      <c r="E23" s="17">
        <v>25316</v>
      </c>
      <c r="F23" s="17">
        <v>26097</v>
      </c>
      <c r="G23" s="18">
        <f>IF(AND(F67&lt;&gt;0,26097&lt;&gt;0),IF(100*26097/(F67-0)&lt;0.005,"*",100*26097/(F67-0)),0)</f>
        <v>1.0666264490008117</v>
      </c>
    </row>
    <row r="24" spans="1:7" x14ac:dyDescent="0.2">
      <c r="A24" s="11" t="s">
        <v>129</v>
      </c>
      <c r="B24" s="17">
        <v>24681</v>
      </c>
      <c r="C24" s="17">
        <v>0</v>
      </c>
      <c r="D24" s="17">
        <v>24694</v>
      </c>
      <c r="E24" s="17">
        <v>24694</v>
      </c>
      <c r="F24" s="17">
        <v>25542</v>
      </c>
      <c r="G24" s="18">
        <f>IF(AND(F67&lt;&gt;0,25542&lt;&gt;0),IF(100*25542/(F67-0)&lt;0.005,"*",100*25542/(F67-0)),0)</f>
        <v>1.043942704539937</v>
      </c>
    </row>
    <row r="25" spans="1:7" x14ac:dyDescent="0.2">
      <c r="A25" s="11" t="s">
        <v>130</v>
      </c>
      <c r="B25" s="17">
        <v>12479</v>
      </c>
      <c r="C25" s="17">
        <v>3</v>
      </c>
      <c r="D25" s="17">
        <v>12488</v>
      </c>
      <c r="E25" s="17">
        <v>12491</v>
      </c>
      <c r="F25" s="17">
        <v>12917</v>
      </c>
      <c r="G25" s="18">
        <f>IF(AND(F67&lt;&gt;0,12917&lt;&gt;0),IF(100*12917/(F67-0)&lt;0.005,"*",100*12917/(F67-0)),0)</f>
        <v>0.52793860756958599</v>
      </c>
    </row>
    <row r="26" spans="1:7" x14ac:dyDescent="0.2">
      <c r="A26" s="11" t="s">
        <v>131</v>
      </c>
      <c r="B26" s="17">
        <v>48292</v>
      </c>
      <c r="C26" s="17">
        <v>1</v>
      </c>
      <c r="D26" s="17">
        <v>48318</v>
      </c>
      <c r="E26" s="17">
        <v>48319</v>
      </c>
      <c r="F26" s="17">
        <v>49978</v>
      </c>
      <c r="G26" s="18">
        <f>IF(AND(F67&lt;&gt;0,49978&lt;&gt;0),IF(100*49978/(F67-0)&lt;0.005,"*",100*49978/(F67-0)),0)</f>
        <v>2.042681406604689</v>
      </c>
    </row>
    <row r="27" spans="1:7" x14ac:dyDescent="0.2">
      <c r="A27" s="11" t="s">
        <v>132</v>
      </c>
      <c r="B27" s="17">
        <v>58498</v>
      </c>
      <c r="C27" s="17">
        <v>21</v>
      </c>
      <c r="D27" s="17">
        <v>58550</v>
      </c>
      <c r="E27" s="17">
        <v>58571</v>
      </c>
      <c r="F27" s="17">
        <v>60562</v>
      </c>
      <c r="G27" s="18">
        <f>IF(AND(F67&lt;&gt;0,60562&lt;&gt;0),IF(100*60562/(F67-0)&lt;0.005,"*",100*60562/(F67-0)),0)</f>
        <v>2.4752665442153181</v>
      </c>
    </row>
    <row r="28" spans="1:7" x14ac:dyDescent="0.2">
      <c r="A28" s="11" t="s">
        <v>133</v>
      </c>
      <c r="B28" s="17">
        <v>109794</v>
      </c>
      <c r="C28" s="17">
        <v>54</v>
      </c>
      <c r="D28" s="17">
        <v>109905</v>
      </c>
      <c r="E28" s="17">
        <v>109959</v>
      </c>
      <c r="F28" s="17">
        <v>113681</v>
      </c>
      <c r="G28" s="18">
        <f>IF(AND(F67&lt;&gt;0,113681&lt;&gt;0),IF(100*113681/(F67-0)&lt;0.005,"*",100*113681/(F67-0)),0)</f>
        <v>4.6463256829850668</v>
      </c>
    </row>
    <row r="29" spans="1:7" x14ac:dyDescent="0.2">
      <c r="A29" s="11" t="s">
        <v>134</v>
      </c>
      <c r="B29" s="17">
        <v>38395</v>
      </c>
      <c r="C29" s="17">
        <v>6</v>
      </c>
      <c r="D29" s="17">
        <v>38421</v>
      </c>
      <c r="E29" s="17">
        <v>38427</v>
      </c>
      <c r="F29" s="17">
        <v>39741</v>
      </c>
      <c r="G29" s="18">
        <f>IF(AND(F67&lt;&gt;0,39741&lt;&gt;0),IF(100*39741/(F67-0)&lt;0.005,"*",100*39741/(F67-0)),0)</f>
        <v>1.6242787182335616</v>
      </c>
    </row>
    <row r="30" spans="1:7" x14ac:dyDescent="0.2">
      <c r="A30" s="11" t="s">
        <v>135</v>
      </c>
      <c r="B30" s="17">
        <v>17206</v>
      </c>
      <c r="C30" s="17">
        <v>49</v>
      </c>
      <c r="D30" s="17">
        <v>17264</v>
      </c>
      <c r="E30" s="17">
        <v>17313</v>
      </c>
      <c r="F30" s="17">
        <v>17857</v>
      </c>
      <c r="G30" s="18">
        <f>IF(AND(F67&lt;&gt;0,17857&lt;&gt;0),IF(100*17857/(F67-0)&lt;0.005,"*",100*17857/(F67-0)),0)</f>
        <v>0.72984436907719252</v>
      </c>
    </row>
    <row r="31" spans="1:7" x14ac:dyDescent="0.2">
      <c r="A31" s="11" t="s">
        <v>136</v>
      </c>
      <c r="B31" s="17">
        <v>32154</v>
      </c>
      <c r="C31" s="17">
        <v>18</v>
      </c>
      <c r="D31" s="17">
        <v>32189</v>
      </c>
      <c r="E31" s="17">
        <v>32207</v>
      </c>
      <c r="F31" s="17">
        <v>33295</v>
      </c>
      <c r="G31" s="18">
        <f>IF(AND(F67&lt;&gt;0,33295&lt;&gt;0),IF(100*33295/(F67-0)&lt;0.005,"*",100*33295/(F67-0)),0)</f>
        <v>1.3608203095942839</v>
      </c>
    </row>
    <row r="32" spans="1:7" x14ac:dyDescent="0.2">
      <c r="A32" s="11" t="s">
        <v>137</v>
      </c>
      <c r="B32" s="17">
        <v>8544</v>
      </c>
      <c r="C32" s="17">
        <v>137</v>
      </c>
      <c r="D32" s="17">
        <v>8686</v>
      </c>
      <c r="E32" s="17">
        <v>8823</v>
      </c>
      <c r="F32" s="17">
        <v>8984</v>
      </c>
      <c r="G32" s="18">
        <f>IF(AND(F67&lt;&gt;0,8984&lt;&gt;0),IF(100*8984/(F67-0)&lt;0.005,"*",100*8984/(F67-0)),0)</f>
        <v>0.36719055898468378</v>
      </c>
    </row>
    <row r="33" spans="1:7" x14ac:dyDescent="0.2">
      <c r="A33" s="11" t="s">
        <v>138</v>
      </c>
      <c r="B33" s="17">
        <v>13946</v>
      </c>
      <c r="C33" s="17">
        <v>1</v>
      </c>
      <c r="D33" s="17">
        <v>13954</v>
      </c>
      <c r="E33" s="17">
        <v>13955</v>
      </c>
      <c r="F33" s="17">
        <v>14433</v>
      </c>
      <c r="G33" s="18">
        <f>IF(AND(F67&lt;&gt;0,14433&lt;&gt;0),IF(100*14433/(F67-0)&lt;0.005,"*",100*14433/(F67-0)),0)</f>
        <v>0.58989997081766932</v>
      </c>
    </row>
    <row r="34" spans="1:7" x14ac:dyDescent="0.2">
      <c r="A34" s="11" t="s">
        <v>139</v>
      </c>
      <c r="B34" s="17">
        <v>23591</v>
      </c>
      <c r="C34" s="17">
        <v>70</v>
      </c>
      <c r="D34" s="17">
        <v>23673</v>
      </c>
      <c r="E34" s="17">
        <v>23743</v>
      </c>
      <c r="F34" s="17">
        <v>24486</v>
      </c>
      <c r="G34" s="18">
        <f>IF(AND(F67&lt;&gt;0,24486&lt;&gt;0),IF(100*24486/(F67-0)&lt;0.005,"*",100*24486/(F67-0)),0)</f>
        <v>1.0007822826468129</v>
      </c>
    </row>
    <row r="35" spans="1:7" x14ac:dyDescent="0.2">
      <c r="A35" s="11" t="s">
        <v>140</v>
      </c>
      <c r="B35" s="17">
        <v>10517</v>
      </c>
      <c r="C35" s="17">
        <v>1</v>
      </c>
      <c r="D35" s="17">
        <v>10524</v>
      </c>
      <c r="E35" s="17">
        <v>10525</v>
      </c>
      <c r="F35" s="17">
        <v>10886</v>
      </c>
      <c r="G35" s="18">
        <f>IF(AND(F67&lt;&gt;0,10886&lt;&gt;0),IF(100*10886/(F67-0)&lt;0.005,"*",100*10886/(F67-0)),0)</f>
        <v>0.44492836432627642</v>
      </c>
    </row>
    <row r="36" spans="1:7" x14ac:dyDescent="0.2">
      <c r="A36" s="11" t="s">
        <v>141</v>
      </c>
      <c r="B36" s="17">
        <v>99044</v>
      </c>
      <c r="C36" s="17">
        <v>537</v>
      </c>
      <c r="D36" s="17">
        <v>99633</v>
      </c>
      <c r="E36" s="17">
        <v>100170</v>
      </c>
      <c r="F36" s="17">
        <v>103056</v>
      </c>
      <c r="G36" s="18">
        <f>IF(AND(F67&lt;&gt;0,103056&lt;&gt;0),IF(100*103056/(F67-0)&lt;0.005,"*",100*103056/(F67-0)),0)</f>
        <v>4.2120648092971473</v>
      </c>
    </row>
    <row r="37" spans="1:7" x14ac:dyDescent="0.2">
      <c r="A37" s="11" t="s">
        <v>142</v>
      </c>
      <c r="B37" s="17">
        <v>12827</v>
      </c>
      <c r="C37" s="17">
        <v>1</v>
      </c>
      <c r="D37" s="17">
        <v>12834</v>
      </c>
      <c r="E37" s="17">
        <v>12835</v>
      </c>
      <c r="F37" s="17">
        <v>13275</v>
      </c>
      <c r="G37" s="18">
        <f>IF(AND(F67&lt;&gt;0,13275&lt;&gt;0),IF(100*13275/(F67-0)&lt;0.005,"*",100*13275/(F67-0)),0)</f>
        <v>0.54257064453714121</v>
      </c>
    </row>
    <row r="38" spans="1:7" x14ac:dyDescent="0.2">
      <c r="A38" s="11" t="s">
        <v>143</v>
      </c>
      <c r="B38" s="17">
        <v>175202</v>
      </c>
      <c r="C38" s="17">
        <v>1425</v>
      </c>
      <c r="D38" s="17">
        <v>176719</v>
      </c>
      <c r="E38" s="17">
        <v>178144</v>
      </c>
      <c r="F38" s="17">
        <v>182791</v>
      </c>
      <c r="G38" s="18">
        <f>IF(AND(F67&lt;&gt;0,182791&lt;&gt;0),IF(100*182791/(F67-0)&lt;0.005,"*",100*182791/(F67-0)),0)</f>
        <v>7.4709627635094984</v>
      </c>
    </row>
    <row r="39" spans="1:7" x14ac:dyDescent="0.2">
      <c r="A39" s="11" t="s">
        <v>144</v>
      </c>
      <c r="B39" s="17">
        <v>48508</v>
      </c>
      <c r="C39" s="17">
        <v>416</v>
      </c>
      <c r="D39" s="17">
        <v>48949</v>
      </c>
      <c r="E39" s="17">
        <v>49365</v>
      </c>
      <c r="F39" s="17">
        <v>50631</v>
      </c>
      <c r="G39" s="18">
        <f>IF(AND(F67&lt;&gt;0,50631&lt;&gt;0),IF(100*50631/(F67-0)&lt;0.005,"*",100*50631/(F67-0)),0)</f>
        <v>2.069370569006403</v>
      </c>
    </row>
    <row r="40" spans="1:7" x14ac:dyDescent="0.2">
      <c r="A40" s="11" t="s">
        <v>145</v>
      </c>
      <c r="B40" s="17">
        <v>6742</v>
      </c>
      <c r="C40" s="17">
        <v>1</v>
      </c>
      <c r="D40" s="17">
        <v>6746</v>
      </c>
      <c r="E40" s="17">
        <v>6747</v>
      </c>
      <c r="F40" s="17">
        <v>6978</v>
      </c>
      <c r="G40" s="18">
        <f>IF(AND(F67&lt;&gt;0,6978&lt;&gt;0),IF(100*6978/(F67-0)&lt;0.005,"*",100*6978/(F67-0)),0)</f>
        <v>0.28520210603240465</v>
      </c>
    </row>
    <row r="41" spans="1:7" x14ac:dyDescent="0.2">
      <c r="A41" s="11" t="s">
        <v>146</v>
      </c>
      <c r="B41" s="17">
        <v>68667</v>
      </c>
      <c r="C41" s="17">
        <v>24</v>
      </c>
      <c r="D41" s="17">
        <v>68727</v>
      </c>
      <c r="E41" s="17">
        <v>68751</v>
      </c>
      <c r="F41" s="17">
        <v>71088</v>
      </c>
      <c r="G41" s="18">
        <f>IF(AND(F67&lt;&gt;0,71088&lt;&gt;0),IF(100*71088/(F67-0)&lt;0.005,"*",100*71088/(F67-0)),0)</f>
        <v>2.9054811283507571</v>
      </c>
    </row>
    <row r="42" spans="1:7" x14ac:dyDescent="0.2">
      <c r="A42" s="11" t="s">
        <v>147</v>
      </c>
      <c r="B42" s="17">
        <v>20515</v>
      </c>
      <c r="C42" s="17">
        <v>130</v>
      </c>
      <c r="D42" s="17">
        <v>20656</v>
      </c>
      <c r="E42" s="17">
        <v>20786</v>
      </c>
      <c r="F42" s="17">
        <v>21366</v>
      </c>
      <c r="G42" s="18">
        <f>IF(AND(F67&lt;&gt;0,21366&lt;&gt;0),IF(100*21366/(F67-0)&lt;0.005,"*",100*21366/(F67-0)),0)</f>
        <v>0.8732628543262192</v>
      </c>
    </row>
    <row r="43" spans="1:7" x14ac:dyDescent="0.2">
      <c r="A43" s="11" t="s">
        <v>148</v>
      </c>
      <c r="B43" s="17">
        <v>45550</v>
      </c>
      <c r="C43" s="17">
        <v>46</v>
      </c>
      <c r="D43" s="17">
        <v>45620</v>
      </c>
      <c r="E43" s="17">
        <v>45666</v>
      </c>
      <c r="F43" s="17">
        <v>47187</v>
      </c>
      <c r="G43" s="18">
        <f>IF(AND(F67&lt;&gt;0,47187&lt;&gt;0),IF(100*47187/(F67-0)&lt;0.005,"*",100*47187/(F67-0)),0)</f>
        <v>1.9286087385140553</v>
      </c>
    </row>
    <row r="44" spans="1:7" x14ac:dyDescent="0.2">
      <c r="A44" s="11" t="s">
        <v>149</v>
      </c>
      <c r="B44" s="17">
        <v>116147</v>
      </c>
      <c r="C44" s="17">
        <v>755</v>
      </c>
      <c r="D44" s="17">
        <v>116963</v>
      </c>
      <c r="E44" s="17">
        <v>117718</v>
      </c>
      <c r="F44" s="17">
        <v>120982</v>
      </c>
      <c r="G44" s="18">
        <f>IF(AND(F67&lt;&gt;0,120982&lt;&gt;0),IF(100*120982/(F67-0)&lt;0.005,"*",100*120982/(F67-0)),0)</f>
        <v>4.9447293195775837</v>
      </c>
    </row>
    <row r="45" spans="1:7" x14ac:dyDescent="0.2">
      <c r="A45" s="11" t="s">
        <v>150</v>
      </c>
      <c r="B45" s="17">
        <v>12074</v>
      </c>
      <c r="C45" s="17">
        <v>2</v>
      </c>
      <c r="D45" s="17">
        <v>12081</v>
      </c>
      <c r="E45" s="17">
        <v>12083</v>
      </c>
      <c r="F45" s="17">
        <v>12496</v>
      </c>
      <c r="G45" s="18">
        <f>IF(AND(F67&lt;&gt;0,12496&lt;&gt;0),IF(100*12496/(F67-0)&lt;0.005,"*",100*12496/(F67-0)),0)</f>
        <v>0.51073165906863405</v>
      </c>
    </row>
    <row r="46" spans="1:7" x14ac:dyDescent="0.2">
      <c r="A46" s="11" t="s">
        <v>151</v>
      </c>
      <c r="B46" s="17">
        <v>27592</v>
      </c>
      <c r="C46" s="17">
        <v>282</v>
      </c>
      <c r="D46" s="17">
        <v>27889</v>
      </c>
      <c r="E46" s="17">
        <v>28171</v>
      </c>
      <c r="F46" s="17">
        <v>28847</v>
      </c>
      <c r="G46" s="18">
        <f>IF(AND(F67&lt;&gt;0,28847&lt;&gt;0),IF(100*28847/(F67-0)&lt;0.005,"*",100*28847/(F67-0)),0)</f>
        <v>1.1790233810141555</v>
      </c>
    </row>
    <row r="47" spans="1:7" x14ac:dyDescent="0.2">
      <c r="A47" s="11" t="s">
        <v>152</v>
      </c>
      <c r="B47" s="17">
        <v>4598</v>
      </c>
      <c r="C47" s="17">
        <v>0</v>
      </c>
      <c r="D47" s="17">
        <v>4600</v>
      </c>
      <c r="E47" s="17">
        <v>4600</v>
      </c>
      <c r="F47" s="17">
        <v>4758</v>
      </c>
      <c r="G47" s="18">
        <f>IF(AND(F67&lt;&gt;0,4758&lt;&gt;0),IF(100*4758/(F67-0)&lt;0.005,"*",100*4758/(F67-0)),0)</f>
        <v>0.19446712818890532</v>
      </c>
    </row>
    <row r="48" spans="1:7" x14ac:dyDescent="0.2">
      <c r="A48" s="11" t="s">
        <v>153</v>
      </c>
      <c r="B48" s="17">
        <v>29196</v>
      </c>
      <c r="C48" s="17">
        <v>13</v>
      </c>
      <c r="D48" s="17">
        <v>29225</v>
      </c>
      <c r="E48" s="17">
        <v>29238</v>
      </c>
      <c r="F48" s="17">
        <v>30229</v>
      </c>
      <c r="G48" s="18">
        <f>IF(AND(F67&lt;&gt;0,30229&lt;&gt;0),IF(100*30229/(F67-0)&lt;0.005,"*",100*30229/(F67-0)),0)</f>
        <v>1.2355079483023159</v>
      </c>
    </row>
    <row r="49" spans="1:7" x14ac:dyDescent="0.2">
      <c r="A49" s="11" t="s">
        <v>154</v>
      </c>
      <c r="B49" s="17">
        <v>130679</v>
      </c>
      <c r="C49" s="17">
        <v>240</v>
      </c>
      <c r="D49" s="17">
        <v>130987</v>
      </c>
      <c r="E49" s="17">
        <v>131227</v>
      </c>
      <c r="F49" s="17">
        <v>135487</v>
      </c>
      <c r="G49" s="18">
        <f>IF(AND(F67&lt;&gt;0,135487&lt;&gt;0),IF(100*135487/(F67-0)&lt;0.005,"*",100*135487/(F67-0)),0)</f>
        <v>5.5375720464334206</v>
      </c>
    </row>
    <row r="50" spans="1:7" x14ac:dyDescent="0.2">
      <c r="A50" s="11" t="s">
        <v>155</v>
      </c>
      <c r="B50" s="17">
        <v>22522</v>
      </c>
      <c r="C50" s="17">
        <v>1</v>
      </c>
      <c r="D50" s="17">
        <v>22535</v>
      </c>
      <c r="E50" s="17">
        <v>22536</v>
      </c>
      <c r="F50" s="17">
        <v>23309</v>
      </c>
      <c r="G50" s="18">
        <f>IF(AND(F67&lt;&gt;0,23309&lt;&gt;0),IF(100*23309/(F67-0)&lt;0.005,"*",100*23309/(F67-0)),0)</f>
        <v>0.95267639574510177</v>
      </c>
    </row>
    <row r="51" spans="1:7" x14ac:dyDescent="0.2">
      <c r="A51" s="11" t="s">
        <v>156</v>
      </c>
      <c r="B51" s="17">
        <v>6786</v>
      </c>
      <c r="C51" s="17">
        <v>0</v>
      </c>
      <c r="D51" s="17">
        <v>6790</v>
      </c>
      <c r="E51" s="17">
        <v>6790</v>
      </c>
      <c r="F51" s="17">
        <v>7023</v>
      </c>
      <c r="G51" s="18">
        <f>IF(AND(F67&lt;&gt;0,7023&lt;&gt;0),IF(100*7023/(F67-0)&lt;0.005,"*",100*7023/(F67-0)),0)</f>
        <v>0.28704132855625936</v>
      </c>
    </row>
    <row r="52" spans="1:7" x14ac:dyDescent="0.2">
      <c r="A52" s="11" t="s">
        <v>157</v>
      </c>
      <c r="B52" s="17">
        <v>35895</v>
      </c>
      <c r="C52" s="17">
        <v>10</v>
      </c>
      <c r="D52" s="17">
        <v>35923</v>
      </c>
      <c r="E52" s="17">
        <v>35933</v>
      </c>
      <c r="F52" s="17">
        <v>37157</v>
      </c>
      <c r="G52" s="18">
        <f>IF(AND(F67&lt;&gt;0,37157&lt;&gt;0),IF(100*37157/(F67-0)&lt;0.005,"*",100*37157/(F67-0)),0)</f>
        <v>1.5186664737526596</v>
      </c>
    </row>
    <row r="53" spans="1:7" x14ac:dyDescent="0.2">
      <c r="A53" s="11" t="s">
        <v>158</v>
      </c>
      <c r="B53" s="17">
        <v>77962</v>
      </c>
      <c r="C53" s="17">
        <v>900</v>
      </c>
      <c r="D53" s="17">
        <v>78903</v>
      </c>
      <c r="E53" s="17">
        <v>79803</v>
      </c>
      <c r="F53" s="17">
        <v>81614</v>
      </c>
      <c r="G53" s="18">
        <f>IF(AND(F67&lt;&gt;0,81614&lt;&gt;0),IF(100*81614/(F67-0)&lt;0.005,"*",100*81614/(F67-0)),0)</f>
        <v>3.3356957124861957</v>
      </c>
    </row>
    <row r="54" spans="1:7" x14ac:dyDescent="0.2">
      <c r="A54" s="11" t="s">
        <v>159</v>
      </c>
      <c r="B54" s="17">
        <v>10430</v>
      </c>
      <c r="C54" s="17">
        <v>27</v>
      </c>
      <c r="D54" s="17">
        <v>10463</v>
      </c>
      <c r="E54" s="17">
        <v>10490</v>
      </c>
      <c r="F54" s="17">
        <v>10822</v>
      </c>
      <c r="G54" s="18">
        <f>IF(AND(F67&lt;&gt;0,10822&lt;&gt;0),IF(100*10822/(F67-0)&lt;0.005,"*",100*10822/(F67-0)),0)</f>
        <v>0.44231258118123862</v>
      </c>
    </row>
    <row r="55" spans="1:7" x14ac:dyDescent="0.2">
      <c r="A55" s="11" t="s">
        <v>160</v>
      </c>
      <c r="B55" s="17">
        <v>54346</v>
      </c>
      <c r="C55" s="17">
        <v>6</v>
      </c>
      <c r="D55" s="17">
        <v>54380</v>
      </c>
      <c r="E55" s="17">
        <v>54386</v>
      </c>
      <c r="F55" s="17">
        <v>56248</v>
      </c>
      <c r="G55" s="18">
        <f>IF(AND(F67&lt;&gt;0,56248&lt;&gt;0),IF(100*56248/(F67-0)&lt;0.005,"*",100*56248/(F67-0)),0)</f>
        <v>2.2989464115951126</v>
      </c>
    </row>
    <row r="56" spans="1:7" x14ac:dyDescent="0.2">
      <c r="A56" s="11" t="s">
        <v>161</v>
      </c>
      <c r="B56" s="17">
        <v>7560</v>
      </c>
      <c r="C56" s="17">
        <v>0</v>
      </c>
      <c r="D56" s="17">
        <v>7564</v>
      </c>
      <c r="E56" s="17">
        <v>7564</v>
      </c>
      <c r="F56" s="17">
        <v>7824</v>
      </c>
      <c r="G56" s="18">
        <f>IF(AND(F67&lt;&gt;0,7824&lt;&gt;0),IF(100*7824/(F67-0)&lt;0.005,"*",100*7824/(F67-0)),0)</f>
        <v>0.31977948948087331</v>
      </c>
    </row>
    <row r="57" spans="1:7" x14ac:dyDescent="0.2">
      <c r="A57" s="11" t="s">
        <v>162</v>
      </c>
      <c r="B57" s="17">
        <v>0</v>
      </c>
      <c r="C57" s="17">
        <v>0</v>
      </c>
      <c r="D57" s="17">
        <v>0</v>
      </c>
      <c r="E57" s="17">
        <v>0</v>
      </c>
      <c r="F57" s="17">
        <v>0</v>
      </c>
      <c r="G57" s="18">
        <f>IF(AND(F67&lt;&gt;0,0&lt;&gt;0),IF(100*0/(F67-0)&lt;0.005,"*",100*0/(F67-0)),0)</f>
        <v>0</v>
      </c>
    </row>
    <row r="58" spans="1:7" x14ac:dyDescent="0.2">
      <c r="A58" s="11" t="s">
        <v>163</v>
      </c>
      <c r="B58" s="17">
        <v>0</v>
      </c>
      <c r="C58" s="17">
        <v>0</v>
      </c>
      <c r="D58" s="17">
        <v>0</v>
      </c>
      <c r="E58" s="17">
        <v>0</v>
      </c>
      <c r="F58" s="17">
        <v>0</v>
      </c>
      <c r="G58" s="18">
        <f>IF(AND(F67&lt;&gt;0,0&lt;&gt;0),IF(100*0/(F67-0)&lt;0.005,"*",100*0/(F67-0)),0)</f>
        <v>0</v>
      </c>
    </row>
    <row r="59" spans="1:7" x14ac:dyDescent="0.2">
      <c r="A59" s="11" t="s">
        <v>164</v>
      </c>
      <c r="B59" s="17">
        <v>0</v>
      </c>
      <c r="C59" s="17">
        <v>0</v>
      </c>
      <c r="D59" s="17">
        <v>0</v>
      </c>
      <c r="E59" s="17">
        <v>0</v>
      </c>
      <c r="F59" s="17">
        <v>0</v>
      </c>
      <c r="G59" s="18">
        <f>IF(AND(F67&lt;&gt;0,0&lt;&gt;0),IF(100*0/(F67-0)&lt;0.005,"*",100*0/(F67-0)),0)</f>
        <v>0</v>
      </c>
    </row>
    <row r="60" spans="1:7" x14ac:dyDescent="0.2">
      <c r="A60" s="11" t="s">
        <v>165</v>
      </c>
      <c r="B60" s="17">
        <v>12677</v>
      </c>
      <c r="C60" s="17">
        <v>0</v>
      </c>
      <c r="D60" s="17">
        <v>12683</v>
      </c>
      <c r="E60" s="17">
        <v>12683</v>
      </c>
      <c r="F60" s="17">
        <v>13119</v>
      </c>
      <c r="G60" s="18">
        <f>IF(AND(F67&lt;&gt;0,13119&lt;&gt;0),IF(100*13119/(F67-0)&lt;0.005,"*",100*13119/(F67-0)),0)</f>
        <v>0.53619467312111158</v>
      </c>
    </row>
    <row r="61" spans="1:7" x14ac:dyDescent="0.2">
      <c r="A61" s="11" t="s">
        <v>166</v>
      </c>
      <c r="B61" s="17">
        <v>0</v>
      </c>
      <c r="C61" s="17">
        <v>0</v>
      </c>
      <c r="D61" s="17">
        <v>0</v>
      </c>
      <c r="E61" s="17">
        <v>0</v>
      </c>
      <c r="F61" s="17">
        <v>0</v>
      </c>
      <c r="G61" s="18">
        <f>IF(AND(F67&lt;&gt;0,0&lt;&gt;0),IF(100*0/(F67-0)&lt;0.005,"*",100*0/(F67-0)),0)</f>
        <v>0</v>
      </c>
    </row>
    <row r="62" spans="1:7" x14ac:dyDescent="0.2">
      <c r="A62" s="11" t="s">
        <v>167</v>
      </c>
      <c r="B62" s="17">
        <v>1541</v>
      </c>
      <c r="C62" s="17">
        <v>0</v>
      </c>
      <c r="D62" s="17">
        <v>1542</v>
      </c>
      <c r="E62" s="17">
        <v>1542</v>
      </c>
      <c r="F62" s="17">
        <v>1595</v>
      </c>
      <c r="G62" s="18">
        <f>IF(AND(F67&lt;&gt;0,1595&lt;&gt;0),IF(100*1595/(F67-0)&lt;0.005,"*",100*1595/(F67-0)),0)</f>
        <v>6.5190220567739376E-2</v>
      </c>
    </row>
    <row r="63" spans="1:7" x14ac:dyDescent="0.2">
      <c r="A63" s="11" t="s">
        <v>168</v>
      </c>
      <c r="B63" s="17">
        <v>0</v>
      </c>
      <c r="C63" s="17">
        <v>0</v>
      </c>
      <c r="D63" s="17">
        <v>0</v>
      </c>
      <c r="E63" s="17">
        <v>0</v>
      </c>
      <c r="F63" s="17">
        <v>0</v>
      </c>
      <c r="G63" s="18">
        <f>IF(AND(F67&lt;&gt;0,0&lt;&gt;0),IF(100*0/(F67-0)&lt;0.005,"*",100*0/(F67-0)),0)</f>
        <v>0</v>
      </c>
    </row>
    <row r="64" spans="1:7" x14ac:dyDescent="0.2">
      <c r="A64" s="11" t="s">
        <v>169</v>
      </c>
      <c r="B64" s="17">
        <v>0</v>
      </c>
      <c r="C64" s="17">
        <v>0</v>
      </c>
      <c r="D64" s="17">
        <v>0</v>
      </c>
      <c r="E64" s="17">
        <v>0</v>
      </c>
      <c r="F64" s="17">
        <v>0</v>
      </c>
      <c r="G64" s="18">
        <v>0</v>
      </c>
    </row>
    <row r="65" spans="1:7" x14ac:dyDescent="0.2">
      <c r="A65" s="11" t="s">
        <v>390</v>
      </c>
      <c r="B65" s="17">
        <v>1870</v>
      </c>
      <c r="C65" s="17">
        <v>0</v>
      </c>
      <c r="D65" s="17">
        <v>1870</v>
      </c>
      <c r="E65" s="17">
        <v>1870</v>
      </c>
      <c r="F65" s="17">
        <v>1870</v>
      </c>
      <c r="G65" s="18">
        <f>IF(AND(F67&lt;&gt;0,1870&lt;&gt;0),IF(100*1870/(F67-0)&lt;0.005,"*",100*1870/(F67-0)),0)</f>
        <v>7.6429913769073765E-2</v>
      </c>
    </row>
    <row r="66" spans="1:7" x14ac:dyDescent="0.2">
      <c r="A66" s="11" t="s">
        <v>391</v>
      </c>
      <c r="B66" s="17">
        <v>10066</v>
      </c>
      <c r="C66" s="17">
        <v>0</v>
      </c>
      <c r="D66" s="17">
        <v>10066</v>
      </c>
      <c r="E66" s="17">
        <v>10066</v>
      </c>
      <c r="F66" s="17">
        <v>10066</v>
      </c>
      <c r="G66" s="18">
        <f>IF(AND(F67&lt;&gt;0,10066&lt;&gt;0),IF(100*10066/(F67-0)&lt;0.005,"*",100*10066/(F67-0)),0)</f>
        <v>0.41141364278047937</v>
      </c>
    </row>
    <row r="67" spans="1:7" ht="15" customHeight="1" x14ac:dyDescent="0.2">
      <c r="A67" s="19" t="s">
        <v>110</v>
      </c>
      <c r="B67" s="20">
        <f>25434+21701+32298+17703+328239+33363+43462+7919+9309+76977+56377+12898+13309+140726+33200+25153+16616+25131+24681+12479+48292+58498+109794+38395+17206+32154+8544+13946+23591+10517+99044+12827+175202+48508+6742+68667+20515+45550+116147+12074+27592+4598+29196+130679+22522+6786+35895+77962+10430+54346+7560+0+0+0+12677+0+1541+0+0+1870+10066+0</f>
        <v>2356908</v>
      </c>
      <c r="C67" s="20">
        <f>6+0+206+2+1438+2+444+0+53+10+10+66+0+10+162+5+1+86+0+3+1+21+54+6+49+18+137+1+70+1+537+1+1425+416+1+24+130+46+755+2+282+0+13+240+1+0+10+900+27+6+0+0+0+0+0+0+0+0+0+0+0+0</f>
        <v>7678</v>
      </c>
      <c r="D67" s="20">
        <f>25454+21712+32521+17714+329853+33382+43929+7923+9368+77027+56416+12971+13316+140810+33379+25171+16626+25230+24694+12488+48318+58550+109905+38421+17264+32189+8686+13954+23673+10524+99633+12834+176719+48949+6746+68727+20656+45620+116963+12081+27889+4600+29225+130987+22535+6790+35923+78903+10463+54380+7564+0+0+0+12683+0+1542+0+0+1870+10066+0</f>
        <v>2365816</v>
      </c>
      <c r="E67" s="20">
        <f>SUM(C67:D67)</f>
        <v>2373494</v>
      </c>
      <c r="F67" s="20">
        <f>26329+22458+33638+18323+341184+34529+45438+8195+9690+79673+58354+13417+13774+145648+34526+26036+17197+26097+25542+12917+49978+60562+113681+39741+17857+33295+8984+14433+24486+10886+103056+13275+182791+50631+6978+71088+21366+47187+120982+12496+28847+4758+30229+135487+23309+7023+37157+81614+10822+56248+7824+0+0+0+13119+0+1595+0+0+1870+10066+0</f>
        <v>2446686</v>
      </c>
      <c r="G67" s="21" t="s">
        <v>170</v>
      </c>
    </row>
    <row r="68" spans="1:7" ht="15" customHeight="1" x14ac:dyDescent="0.2">
      <c r="A68" s="74" t="s">
        <v>171</v>
      </c>
      <c r="B68" s="74"/>
      <c r="C68" s="74"/>
      <c r="D68" s="74"/>
      <c r="E68" s="74"/>
      <c r="F68" s="74"/>
      <c r="G68" s="74"/>
    </row>
    <row r="69" spans="1:7" ht="15" customHeight="1" x14ac:dyDescent="0.2">
      <c r="A69" s="67" t="s">
        <v>172</v>
      </c>
      <c r="B69" s="67"/>
      <c r="C69" s="67"/>
      <c r="D69" s="67"/>
      <c r="E69" s="67"/>
      <c r="F69" s="67"/>
      <c r="G69" s="67"/>
    </row>
  </sheetData>
  <mergeCells count="6">
    <mergeCell ref="A69:G69"/>
    <mergeCell ref="A4:A5"/>
    <mergeCell ref="B4:B5"/>
    <mergeCell ref="F4:F5"/>
    <mergeCell ref="G4:G5"/>
    <mergeCell ref="A68:G6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2" t="s">
        <v>392</v>
      </c>
      <c r="B1" s="10"/>
      <c r="C1" s="10"/>
      <c r="D1" s="10"/>
      <c r="E1" s="10"/>
      <c r="F1" s="10"/>
      <c r="G1" s="12" t="s">
        <v>393</v>
      </c>
    </row>
    <row r="2" spans="1:7" x14ac:dyDescent="0.2">
      <c r="A2" s="13" t="s">
        <v>394</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61461</v>
      </c>
      <c r="C6" s="17">
        <v>2325</v>
      </c>
      <c r="D6" s="17">
        <v>56848</v>
      </c>
      <c r="E6" s="17">
        <v>59173</v>
      </c>
      <c r="F6" s="17">
        <v>50568</v>
      </c>
      <c r="G6" s="18">
        <v>1.5927265236778225</v>
      </c>
    </row>
    <row r="7" spans="1:7" x14ac:dyDescent="0.2">
      <c r="A7" s="11" t="s">
        <v>112</v>
      </c>
      <c r="B7" s="17">
        <v>218371</v>
      </c>
      <c r="C7" s="17">
        <v>16983</v>
      </c>
      <c r="D7" s="17">
        <v>229756</v>
      </c>
      <c r="E7" s="17">
        <v>246739</v>
      </c>
      <c r="F7" s="17">
        <v>204372</v>
      </c>
      <c r="G7" s="18">
        <v>6.4370492227709999</v>
      </c>
    </row>
    <row r="8" spans="1:7" x14ac:dyDescent="0.2">
      <c r="A8" s="11" t="s">
        <v>113</v>
      </c>
      <c r="B8" s="17">
        <v>117311</v>
      </c>
      <c r="C8" s="17">
        <v>1458</v>
      </c>
      <c r="D8" s="17">
        <v>72290</v>
      </c>
      <c r="E8" s="17">
        <v>73748</v>
      </c>
      <c r="F8" s="17">
        <v>64303</v>
      </c>
      <c r="G8" s="18">
        <v>2.025334077915975</v>
      </c>
    </row>
    <row r="9" spans="1:7" x14ac:dyDescent="0.2">
      <c r="A9" s="11" t="s">
        <v>114</v>
      </c>
      <c r="B9" s="17">
        <v>45574</v>
      </c>
      <c r="C9" s="17">
        <v>6150</v>
      </c>
      <c r="D9" s="17">
        <v>35732</v>
      </c>
      <c r="E9" s="17">
        <v>41882</v>
      </c>
      <c r="F9" s="17">
        <v>31784</v>
      </c>
      <c r="G9" s="18">
        <v>1.0010919915475383</v>
      </c>
    </row>
    <row r="10" spans="1:7" x14ac:dyDescent="0.2">
      <c r="A10" s="11" t="s">
        <v>115</v>
      </c>
      <c r="B10" s="17">
        <v>269949</v>
      </c>
      <c r="C10" s="17">
        <v>17800</v>
      </c>
      <c r="D10" s="17">
        <v>295867</v>
      </c>
      <c r="E10" s="17">
        <v>313667</v>
      </c>
      <c r="F10" s="17">
        <v>263179</v>
      </c>
      <c r="G10" s="18">
        <v>8.2892772855364196</v>
      </c>
    </row>
    <row r="11" spans="1:7" x14ac:dyDescent="0.2">
      <c r="A11" s="11" t="s">
        <v>116</v>
      </c>
      <c r="B11" s="17">
        <v>82575</v>
      </c>
      <c r="C11" s="17">
        <v>2000</v>
      </c>
      <c r="D11" s="17">
        <v>77833</v>
      </c>
      <c r="E11" s="17">
        <v>79833</v>
      </c>
      <c r="F11" s="17">
        <v>69234</v>
      </c>
      <c r="G11" s="18">
        <v>2.1806444419457041</v>
      </c>
    </row>
    <row r="12" spans="1:7" x14ac:dyDescent="0.2">
      <c r="A12" s="11" t="s">
        <v>117</v>
      </c>
      <c r="B12" s="17">
        <v>8135</v>
      </c>
      <c r="C12" s="17">
        <v>1250</v>
      </c>
      <c r="D12" s="17">
        <v>25110</v>
      </c>
      <c r="E12" s="17">
        <v>26360</v>
      </c>
      <c r="F12" s="17">
        <v>22336</v>
      </c>
      <c r="G12" s="18">
        <v>0.70351090873413702</v>
      </c>
    </row>
    <row r="13" spans="1:7" x14ac:dyDescent="0.2">
      <c r="A13" s="11" t="s">
        <v>118</v>
      </c>
      <c r="B13" s="17">
        <v>2072</v>
      </c>
      <c r="C13" s="17">
        <v>1750</v>
      </c>
      <c r="D13" s="17">
        <v>9268</v>
      </c>
      <c r="E13" s="17">
        <v>11018</v>
      </c>
      <c r="F13" s="17">
        <v>8244</v>
      </c>
      <c r="G13" s="18">
        <v>0.25965902272583391</v>
      </c>
    </row>
    <row r="14" spans="1:7" x14ac:dyDescent="0.2">
      <c r="A14" s="11" t="s">
        <v>119</v>
      </c>
      <c r="B14" s="17">
        <v>275</v>
      </c>
      <c r="C14" s="17">
        <v>0</v>
      </c>
      <c r="D14" s="17">
        <v>273</v>
      </c>
      <c r="E14" s="17">
        <v>273</v>
      </c>
      <c r="F14" s="17">
        <v>243</v>
      </c>
      <c r="G14" s="18">
        <v>7.6537048183378991E-3</v>
      </c>
    </row>
    <row r="15" spans="1:7" x14ac:dyDescent="0.2">
      <c r="A15" s="11" t="s">
        <v>120</v>
      </c>
      <c r="B15" s="17">
        <v>233898</v>
      </c>
      <c r="C15" s="17">
        <v>16436</v>
      </c>
      <c r="D15" s="17">
        <v>183817</v>
      </c>
      <c r="E15" s="17">
        <v>200253</v>
      </c>
      <c r="F15" s="17">
        <v>163509</v>
      </c>
      <c r="G15" s="18">
        <v>5.1499984409119817</v>
      </c>
    </row>
    <row r="16" spans="1:7" x14ac:dyDescent="0.2">
      <c r="A16" s="11" t="s">
        <v>121</v>
      </c>
      <c r="B16" s="17">
        <v>52813</v>
      </c>
      <c r="C16" s="17">
        <v>6331</v>
      </c>
      <c r="D16" s="17">
        <v>83610</v>
      </c>
      <c r="E16" s="17">
        <v>89941</v>
      </c>
      <c r="F16" s="17">
        <v>74373</v>
      </c>
      <c r="G16" s="18">
        <v>2.3425061253261092</v>
      </c>
    </row>
    <row r="17" spans="1:7" x14ac:dyDescent="0.2">
      <c r="A17" s="11" t="s">
        <v>122</v>
      </c>
      <c r="B17" s="17">
        <v>38563</v>
      </c>
      <c r="C17" s="17">
        <v>0</v>
      </c>
      <c r="D17" s="17">
        <v>28351</v>
      </c>
      <c r="E17" s="17">
        <v>28351</v>
      </c>
      <c r="F17" s="17">
        <v>25219</v>
      </c>
      <c r="G17" s="18">
        <v>0.79431597454182501</v>
      </c>
    </row>
    <row r="18" spans="1:7" x14ac:dyDescent="0.2">
      <c r="A18" s="11" t="s">
        <v>123</v>
      </c>
      <c r="B18" s="17">
        <v>33731</v>
      </c>
      <c r="C18" s="17">
        <v>4137</v>
      </c>
      <c r="D18" s="17">
        <v>33685</v>
      </c>
      <c r="E18" s="17">
        <v>37822</v>
      </c>
      <c r="F18" s="17">
        <v>29963</v>
      </c>
      <c r="G18" s="18">
        <v>0.94373645050147514</v>
      </c>
    </row>
    <row r="19" spans="1:7" x14ac:dyDescent="0.2">
      <c r="A19" s="11" t="s">
        <v>124</v>
      </c>
      <c r="B19" s="17">
        <v>134112</v>
      </c>
      <c r="C19" s="17">
        <v>4500</v>
      </c>
      <c r="D19" s="17">
        <v>168028</v>
      </c>
      <c r="E19" s="17">
        <v>172528</v>
      </c>
      <c r="F19" s="17">
        <v>149464</v>
      </c>
      <c r="G19" s="18">
        <v>4.7076269011031098</v>
      </c>
    </row>
    <row r="20" spans="1:7" x14ac:dyDescent="0.2">
      <c r="A20" s="11" t="s">
        <v>125</v>
      </c>
      <c r="B20" s="17">
        <v>72588</v>
      </c>
      <c r="C20" s="17">
        <v>5275</v>
      </c>
      <c r="D20" s="17">
        <v>69590</v>
      </c>
      <c r="E20" s="17">
        <v>74865</v>
      </c>
      <c r="F20" s="17">
        <v>61902</v>
      </c>
      <c r="G20" s="18">
        <v>1.9497104348343728</v>
      </c>
    </row>
    <row r="21" spans="1:7" x14ac:dyDescent="0.2">
      <c r="A21" s="11" t="s">
        <v>126</v>
      </c>
      <c r="B21" s="17">
        <v>66136</v>
      </c>
      <c r="C21" s="17">
        <v>2753</v>
      </c>
      <c r="D21" s="17">
        <v>38225</v>
      </c>
      <c r="E21" s="17">
        <v>40978</v>
      </c>
      <c r="F21" s="17">
        <v>34002</v>
      </c>
      <c r="G21" s="18">
        <v>1.0709517334696512</v>
      </c>
    </row>
    <row r="22" spans="1:7" x14ac:dyDescent="0.2">
      <c r="A22" s="11" t="s">
        <v>127</v>
      </c>
      <c r="B22" s="17">
        <v>38820</v>
      </c>
      <c r="C22" s="17">
        <v>3589</v>
      </c>
      <c r="D22" s="17">
        <v>41787</v>
      </c>
      <c r="E22" s="17">
        <v>45376</v>
      </c>
      <c r="F22" s="17">
        <v>37170</v>
      </c>
      <c r="G22" s="18">
        <v>1.1707333666568711</v>
      </c>
    </row>
    <row r="23" spans="1:7" x14ac:dyDescent="0.2">
      <c r="A23" s="11" t="s">
        <v>128</v>
      </c>
      <c r="B23" s="17">
        <v>65549</v>
      </c>
      <c r="C23" s="17">
        <v>3500</v>
      </c>
      <c r="D23" s="17">
        <v>48173</v>
      </c>
      <c r="E23" s="17">
        <v>51673</v>
      </c>
      <c r="F23" s="17">
        <v>42850</v>
      </c>
      <c r="G23" s="18">
        <v>1.3496347796945636</v>
      </c>
    </row>
    <row r="24" spans="1:7" x14ac:dyDescent="0.2">
      <c r="A24" s="11" t="s">
        <v>129</v>
      </c>
      <c r="B24" s="17">
        <v>51450</v>
      </c>
      <c r="C24" s="17">
        <v>6524</v>
      </c>
      <c r="D24" s="17">
        <v>75954</v>
      </c>
      <c r="E24" s="17">
        <v>82478</v>
      </c>
      <c r="F24" s="17">
        <v>67562</v>
      </c>
      <c r="G24" s="18">
        <v>2.1279819133191156</v>
      </c>
    </row>
    <row r="25" spans="1:7" x14ac:dyDescent="0.2">
      <c r="A25" s="11" t="s">
        <v>130</v>
      </c>
      <c r="B25" s="17">
        <v>32676</v>
      </c>
      <c r="C25" s="17">
        <v>1600</v>
      </c>
      <c r="D25" s="17">
        <v>24662</v>
      </c>
      <c r="E25" s="17">
        <v>26262</v>
      </c>
      <c r="F25" s="17">
        <v>21937</v>
      </c>
      <c r="G25" s="18">
        <v>0.69094371440279212</v>
      </c>
    </row>
    <row r="26" spans="1:7" x14ac:dyDescent="0.2">
      <c r="A26" s="11" t="s">
        <v>131</v>
      </c>
      <c r="B26" s="17">
        <v>40390</v>
      </c>
      <c r="C26" s="17">
        <v>1696</v>
      </c>
      <c r="D26" s="17">
        <v>33130</v>
      </c>
      <c r="E26" s="17">
        <v>34826</v>
      </c>
      <c r="F26" s="17">
        <v>29469</v>
      </c>
      <c r="G26" s="18">
        <v>0.92817706704361946</v>
      </c>
    </row>
    <row r="27" spans="1:7" x14ac:dyDescent="0.2">
      <c r="A27" s="11" t="s">
        <v>132</v>
      </c>
      <c r="B27" s="17">
        <v>39884</v>
      </c>
      <c r="C27" s="17">
        <v>1250</v>
      </c>
      <c r="D27" s="17">
        <v>44184</v>
      </c>
      <c r="E27" s="17">
        <v>45434</v>
      </c>
      <c r="F27" s="17">
        <v>39302</v>
      </c>
      <c r="G27" s="18">
        <v>1.2378843900013008</v>
      </c>
    </row>
    <row r="28" spans="1:7" x14ac:dyDescent="0.2">
      <c r="A28" s="11" t="s">
        <v>133</v>
      </c>
      <c r="B28" s="17">
        <v>105764</v>
      </c>
      <c r="C28" s="17">
        <v>9000</v>
      </c>
      <c r="D28" s="17">
        <v>75061</v>
      </c>
      <c r="E28" s="17">
        <v>84061</v>
      </c>
      <c r="F28" s="17">
        <v>66768</v>
      </c>
      <c r="G28" s="18">
        <v>2.1029735115670158</v>
      </c>
    </row>
    <row r="29" spans="1:7" x14ac:dyDescent="0.2">
      <c r="A29" s="11" t="s">
        <v>134</v>
      </c>
      <c r="B29" s="17">
        <v>82309</v>
      </c>
      <c r="C29" s="17">
        <v>1050</v>
      </c>
      <c r="D29" s="17">
        <v>52198</v>
      </c>
      <c r="E29" s="17">
        <v>53248</v>
      </c>
      <c r="F29" s="17">
        <v>46431</v>
      </c>
      <c r="G29" s="18">
        <v>1.4624245614001934</v>
      </c>
    </row>
    <row r="30" spans="1:7" x14ac:dyDescent="0.2">
      <c r="A30" s="11" t="s">
        <v>135</v>
      </c>
      <c r="B30" s="17">
        <v>37511</v>
      </c>
      <c r="C30" s="17">
        <v>3939</v>
      </c>
      <c r="D30" s="17">
        <v>41312</v>
      </c>
      <c r="E30" s="17">
        <v>45251</v>
      </c>
      <c r="F30" s="17">
        <v>36748</v>
      </c>
      <c r="G30" s="18">
        <v>1.1574417475896341</v>
      </c>
    </row>
    <row r="31" spans="1:7" x14ac:dyDescent="0.2">
      <c r="A31" s="11" t="s">
        <v>136</v>
      </c>
      <c r="B31" s="17">
        <v>41193</v>
      </c>
      <c r="C31" s="17">
        <v>5107</v>
      </c>
      <c r="D31" s="17">
        <v>68671</v>
      </c>
      <c r="E31" s="17">
        <v>73778</v>
      </c>
      <c r="F31" s="17">
        <v>61084</v>
      </c>
      <c r="G31" s="18">
        <v>1.9239461116187333</v>
      </c>
    </row>
    <row r="32" spans="1:7" x14ac:dyDescent="0.2">
      <c r="A32" s="11" t="s">
        <v>137</v>
      </c>
      <c r="B32" s="17">
        <v>50683</v>
      </c>
      <c r="C32" s="17">
        <v>2375</v>
      </c>
      <c r="D32" s="17">
        <v>44111</v>
      </c>
      <c r="E32" s="17">
        <v>46486</v>
      </c>
      <c r="F32" s="17">
        <v>39238</v>
      </c>
      <c r="G32" s="18">
        <v>1.2358685994318621</v>
      </c>
    </row>
    <row r="33" spans="1:7" x14ac:dyDescent="0.2">
      <c r="A33" s="11" t="s">
        <v>138</v>
      </c>
      <c r="B33" s="17">
        <v>35167</v>
      </c>
      <c r="C33" s="17">
        <v>3279</v>
      </c>
      <c r="D33" s="17">
        <v>41489</v>
      </c>
      <c r="E33" s="17">
        <v>44768</v>
      </c>
      <c r="F33" s="17">
        <v>36905</v>
      </c>
      <c r="G33" s="18">
        <v>1.1623867338302887</v>
      </c>
    </row>
    <row r="34" spans="1:7" x14ac:dyDescent="0.2">
      <c r="A34" s="11" t="s">
        <v>139</v>
      </c>
      <c r="B34" s="17">
        <v>39044</v>
      </c>
      <c r="C34" s="17">
        <v>1000</v>
      </c>
      <c r="D34" s="17">
        <v>49361</v>
      </c>
      <c r="E34" s="17">
        <v>50361</v>
      </c>
      <c r="F34" s="17">
        <v>43908</v>
      </c>
      <c r="G34" s="18">
        <v>1.3829583175455986</v>
      </c>
    </row>
    <row r="35" spans="1:7" x14ac:dyDescent="0.2">
      <c r="A35" s="11" t="s">
        <v>140</v>
      </c>
      <c r="B35" s="17">
        <v>23399</v>
      </c>
      <c r="C35" s="17">
        <v>1500</v>
      </c>
      <c r="D35" s="17">
        <v>11862</v>
      </c>
      <c r="E35" s="17">
        <v>13362</v>
      </c>
      <c r="F35" s="17">
        <v>10552</v>
      </c>
      <c r="G35" s="18">
        <v>0.33235347013622019</v>
      </c>
    </row>
    <row r="36" spans="1:7" x14ac:dyDescent="0.2">
      <c r="A36" s="11" t="s">
        <v>141</v>
      </c>
      <c r="B36" s="17">
        <v>48424</v>
      </c>
      <c r="C36" s="17">
        <v>2750</v>
      </c>
      <c r="D36" s="17">
        <v>26199</v>
      </c>
      <c r="E36" s="17">
        <v>28949</v>
      </c>
      <c r="F36" s="17">
        <v>23304</v>
      </c>
      <c r="G36" s="18">
        <v>0.73399974109689869</v>
      </c>
    </row>
    <row r="37" spans="1:7" x14ac:dyDescent="0.2">
      <c r="A37" s="11" t="s">
        <v>142</v>
      </c>
      <c r="B37" s="17">
        <v>26350</v>
      </c>
      <c r="C37" s="17">
        <v>3259</v>
      </c>
      <c r="D37" s="17">
        <v>36716</v>
      </c>
      <c r="E37" s="17">
        <v>39975</v>
      </c>
      <c r="F37" s="17">
        <v>32659</v>
      </c>
      <c r="G37" s="18">
        <v>1.0286516282390841</v>
      </c>
    </row>
    <row r="38" spans="1:7" x14ac:dyDescent="0.2">
      <c r="A38" s="11" t="s">
        <v>143</v>
      </c>
      <c r="B38" s="17">
        <v>147896</v>
      </c>
      <c r="C38" s="17">
        <v>6297</v>
      </c>
      <c r="D38" s="17">
        <v>120934</v>
      </c>
      <c r="E38" s="17">
        <v>127231</v>
      </c>
      <c r="F38" s="17">
        <v>107573</v>
      </c>
      <c r="G38" s="18">
        <v>3.3881974832224806</v>
      </c>
    </row>
    <row r="39" spans="1:7" x14ac:dyDescent="0.2">
      <c r="A39" s="11" t="s">
        <v>144</v>
      </c>
      <c r="B39" s="17">
        <v>80887</v>
      </c>
      <c r="C39" s="17">
        <v>7450</v>
      </c>
      <c r="D39" s="17">
        <v>91967</v>
      </c>
      <c r="E39" s="17">
        <v>99417</v>
      </c>
      <c r="F39" s="17">
        <v>81806</v>
      </c>
      <c r="G39" s="18">
        <v>2.5766213019298361</v>
      </c>
    </row>
    <row r="40" spans="1:7" x14ac:dyDescent="0.2">
      <c r="A40" s="11" t="s">
        <v>145</v>
      </c>
      <c r="B40" s="17">
        <v>45892</v>
      </c>
      <c r="C40" s="17">
        <v>1200</v>
      </c>
      <c r="D40" s="17">
        <v>69306</v>
      </c>
      <c r="E40" s="17">
        <v>70506</v>
      </c>
      <c r="F40" s="17">
        <v>61649</v>
      </c>
      <c r="G40" s="18">
        <v>1.9417417627395601</v>
      </c>
    </row>
    <row r="41" spans="1:7" x14ac:dyDescent="0.2">
      <c r="A41" s="11" t="s">
        <v>146</v>
      </c>
      <c r="B41" s="17">
        <v>61848</v>
      </c>
      <c r="C41" s="17">
        <v>6400</v>
      </c>
      <c r="D41" s="17">
        <v>83954</v>
      </c>
      <c r="E41" s="17">
        <v>90354</v>
      </c>
      <c r="F41" s="17">
        <v>74678</v>
      </c>
      <c r="G41" s="18">
        <v>2.3521126272585908</v>
      </c>
    </row>
    <row r="42" spans="1:7" x14ac:dyDescent="0.2">
      <c r="A42" s="11" t="s">
        <v>147</v>
      </c>
      <c r="B42" s="17">
        <v>55147</v>
      </c>
      <c r="C42" s="17">
        <v>3382</v>
      </c>
      <c r="D42" s="17">
        <v>42057</v>
      </c>
      <c r="E42" s="17">
        <v>45439</v>
      </c>
      <c r="F42" s="17">
        <v>37411</v>
      </c>
      <c r="G42" s="18">
        <v>1.178324078019914</v>
      </c>
    </row>
    <row r="43" spans="1:7" x14ac:dyDescent="0.2">
      <c r="A43" s="11" t="s">
        <v>148</v>
      </c>
      <c r="B43" s="17">
        <v>56748</v>
      </c>
      <c r="C43" s="17">
        <v>3075</v>
      </c>
      <c r="D43" s="17">
        <v>56702</v>
      </c>
      <c r="E43" s="17">
        <v>59777</v>
      </c>
      <c r="F43" s="17">
        <v>50437</v>
      </c>
      <c r="G43" s="18">
        <v>1.5886004523560024</v>
      </c>
    </row>
    <row r="44" spans="1:7" x14ac:dyDescent="0.2">
      <c r="A44" s="11" t="s">
        <v>149</v>
      </c>
      <c r="B44" s="17">
        <v>101820</v>
      </c>
      <c r="C44" s="17">
        <v>6750</v>
      </c>
      <c r="D44" s="17">
        <v>79953</v>
      </c>
      <c r="E44" s="17">
        <v>86703</v>
      </c>
      <c r="F44" s="17">
        <v>71119</v>
      </c>
      <c r="G44" s="18">
        <v>2.2400157735612058</v>
      </c>
    </row>
    <row r="45" spans="1:7" x14ac:dyDescent="0.2">
      <c r="A45" s="11" t="s">
        <v>150</v>
      </c>
      <c r="B45" s="17">
        <v>1483</v>
      </c>
      <c r="C45" s="17">
        <v>0</v>
      </c>
      <c r="D45" s="17">
        <v>30255</v>
      </c>
      <c r="E45" s="17">
        <v>30255</v>
      </c>
      <c r="F45" s="17">
        <v>26912</v>
      </c>
      <c r="G45" s="18">
        <v>0.84763993444901042</v>
      </c>
    </row>
    <row r="46" spans="1:7" x14ac:dyDescent="0.2">
      <c r="A46" s="11" t="s">
        <v>151</v>
      </c>
      <c r="B46" s="17">
        <v>70918</v>
      </c>
      <c r="C46" s="17">
        <v>1100</v>
      </c>
      <c r="D46" s="17">
        <v>71792</v>
      </c>
      <c r="E46" s="17">
        <v>72892</v>
      </c>
      <c r="F46" s="17">
        <v>63860</v>
      </c>
      <c r="G46" s="18">
        <v>2.0113810275681407</v>
      </c>
    </row>
    <row r="47" spans="1:7" x14ac:dyDescent="0.2">
      <c r="A47" s="11" t="s">
        <v>152</v>
      </c>
      <c r="B47" s="17">
        <v>35369</v>
      </c>
      <c r="C47" s="17">
        <v>10360</v>
      </c>
      <c r="D47" s="17">
        <v>29154</v>
      </c>
      <c r="E47" s="17">
        <v>39514</v>
      </c>
      <c r="F47" s="17">
        <v>25933</v>
      </c>
      <c r="G47" s="18">
        <v>0.81680463808212644</v>
      </c>
    </row>
    <row r="48" spans="1:7" x14ac:dyDescent="0.2">
      <c r="A48" s="11" t="s">
        <v>153</v>
      </c>
      <c r="B48" s="17">
        <v>86121</v>
      </c>
      <c r="C48" s="17">
        <v>4000</v>
      </c>
      <c r="D48" s="17">
        <v>73705</v>
      </c>
      <c r="E48" s="17">
        <v>77705</v>
      </c>
      <c r="F48" s="17">
        <v>65562</v>
      </c>
      <c r="G48" s="18">
        <v>2.0649884580241538</v>
      </c>
    </row>
    <row r="49" spans="1:7" x14ac:dyDescent="0.2">
      <c r="A49" s="11" t="s">
        <v>154</v>
      </c>
      <c r="B49" s="17">
        <v>261112</v>
      </c>
      <c r="C49" s="17">
        <v>13225</v>
      </c>
      <c r="D49" s="17">
        <v>280176</v>
      </c>
      <c r="E49" s="17">
        <v>293401</v>
      </c>
      <c r="F49" s="17">
        <v>249221</v>
      </c>
      <c r="G49" s="18">
        <v>7.8496459610328788</v>
      </c>
    </row>
    <row r="50" spans="1:7" x14ac:dyDescent="0.2">
      <c r="A50" s="11" t="s">
        <v>155</v>
      </c>
      <c r="B50" s="17">
        <v>70071</v>
      </c>
      <c r="C50" s="17">
        <v>7500</v>
      </c>
      <c r="D50" s="17">
        <v>52221</v>
      </c>
      <c r="E50" s="17">
        <v>59721</v>
      </c>
      <c r="F50" s="17">
        <v>46451</v>
      </c>
      <c r="G50" s="18">
        <v>1.4630544959531429</v>
      </c>
    </row>
    <row r="51" spans="1:7" x14ac:dyDescent="0.2">
      <c r="A51" s="11" t="s">
        <v>156</v>
      </c>
      <c r="B51" s="17">
        <v>20006</v>
      </c>
      <c r="C51" s="17">
        <v>5000</v>
      </c>
      <c r="D51" s="17">
        <v>24272</v>
      </c>
      <c r="E51" s="17">
        <v>29272</v>
      </c>
      <c r="F51" s="17">
        <v>21590</v>
      </c>
      <c r="G51" s="18">
        <v>0.68001434990911624</v>
      </c>
    </row>
    <row r="52" spans="1:7" x14ac:dyDescent="0.2">
      <c r="A52" s="11" t="s">
        <v>157</v>
      </c>
      <c r="B52" s="17">
        <v>54739</v>
      </c>
      <c r="C52" s="17">
        <v>5250</v>
      </c>
      <c r="D52" s="17">
        <v>78508</v>
      </c>
      <c r="E52" s="17">
        <v>83758</v>
      </c>
      <c r="F52" s="17">
        <v>69834</v>
      </c>
      <c r="G52" s="18">
        <v>2.1995424785341928</v>
      </c>
    </row>
    <row r="53" spans="1:7" x14ac:dyDescent="0.2">
      <c r="A53" s="11" t="s">
        <v>158</v>
      </c>
      <c r="B53" s="17">
        <v>78980</v>
      </c>
      <c r="C53" s="17">
        <v>6900</v>
      </c>
      <c r="D53" s="17">
        <v>83132</v>
      </c>
      <c r="E53" s="17">
        <v>90032</v>
      </c>
      <c r="F53" s="17">
        <v>73947</v>
      </c>
      <c r="G53" s="18">
        <v>2.3290885193482822</v>
      </c>
    </row>
    <row r="54" spans="1:7" x14ac:dyDescent="0.2">
      <c r="A54" s="11" t="s">
        <v>159</v>
      </c>
      <c r="B54" s="17">
        <v>15928</v>
      </c>
      <c r="C54" s="17">
        <v>2300</v>
      </c>
      <c r="D54" s="17">
        <v>22060</v>
      </c>
      <c r="E54" s="17">
        <v>24360</v>
      </c>
      <c r="F54" s="17">
        <v>19623</v>
      </c>
      <c r="G54" s="18">
        <v>0.6180602866265209</v>
      </c>
    </row>
    <row r="55" spans="1:7" x14ac:dyDescent="0.2">
      <c r="A55" s="11" t="s">
        <v>160</v>
      </c>
      <c r="B55" s="17">
        <v>65120</v>
      </c>
      <c r="C55" s="17">
        <v>3350</v>
      </c>
      <c r="D55" s="17">
        <v>56961</v>
      </c>
      <c r="E55" s="17">
        <v>60311</v>
      </c>
      <c r="F55" s="17">
        <v>50668</v>
      </c>
      <c r="G55" s="18">
        <v>1.5958761964425705</v>
      </c>
    </row>
    <row r="56" spans="1:7" x14ac:dyDescent="0.2">
      <c r="A56" s="11" t="s">
        <v>161</v>
      </c>
      <c r="B56" s="17">
        <v>30689</v>
      </c>
      <c r="C56" s="17">
        <v>2500</v>
      </c>
      <c r="D56" s="17">
        <v>34474</v>
      </c>
      <c r="E56" s="17">
        <v>36974</v>
      </c>
      <c r="F56" s="17">
        <v>30665</v>
      </c>
      <c r="G56" s="18">
        <v>0.96584715331000681</v>
      </c>
    </row>
    <row r="57" spans="1:7" x14ac:dyDescent="0.2">
      <c r="A57" s="11" t="s">
        <v>162</v>
      </c>
      <c r="B57" s="17">
        <v>994</v>
      </c>
      <c r="C57" s="17">
        <v>0</v>
      </c>
      <c r="D57" s="17">
        <v>12438</v>
      </c>
      <c r="E57" s="17">
        <v>12438</v>
      </c>
      <c r="F57" s="17">
        <v>11064</v>
      </c>
      <c r="G57" s="18">
        <v>0.34847979469173052</v>
      </c>
    </row>
    <row r="58" spans="1:7" x14ac:dyDescent="0.2">
      <c r="A58" s="11" t="s">
        <v>163</v>
      </c>
      <c r="B58" s="17">
        <v>18096</v>
      </c>
      <c r="C58" s="17">
        <v>0</v>
      </c>
      <c r="D58" s="17">
        <v>7517</v>
      </c>
      <c r="E58" s="17">
        <v>7517</v>
      </c>
      <c r="F58" s="17">
        <v>6687</v>
      </c>
      <c r="G58" s="18">
        <v>0.21061861777870589</v>
      </c>
    </row>
    <row r="59" spans="1:7" x14ac:dyDescent="0.2">
      <c r="A59" s="11" t="s">
        <v>164</v>
      </c>
      <c r="B59" s="17">
        <v>5715</v>
      </c>
      <c r="C59" s="17">
        <v>0</v>
      </c>
      <c r="D59" s="17">
        <v>7365</v>
      </c>
      <c r="E59" s="17">
        <v>7365</v>
      </c>
      <c r="F59" s="17">
        <v>6552</v>
      </c>
      <c r="G59" s="18">
        <v>0.20636655954629593</v>
      </c>
    </row>
    <row r="60" spans="1:7" x14ac:dyDescent="0.2">
      <c r="A60" s="11" t="s">
        <v>165</v>
      </c>
      <c r="B60" s="17">
        <v>15271</v>
      </c>
      <c r="C60" s="17">
        <v>0</v>
      </c>
      <c r="D60" s="17">
        <v>12149</v>
      </c>
      <c r="E60" s="17">
        <v>12149</v>
      </c>
      <c r="F60" s="17">
        <v>10806</v>
      </c>
      <c r="G60" s="18">
        <v>0.34035363895868037</v>
      </c>
    </row>
    <row r="61" spans="1:7" x14ac:dyDescent="0.2">
      <c r="A61" s="11" t="s">
        <v>166</v>
      </c>
      <c r="B61" s="17">
        <v>9955</v>
      </c>
      <c r="C61" s="17">
        <v>0</v>
      </c>
      <c r="D61" s="17">
        <v>17277</v>
      </c>
      <c r="E61" s="17">
        <v>17277</v>
      </c>
      <c r="F61" s="17">
        <v>15368</v>
      </c>
      <c r="G61" s="18">
        <v>0.48404171048648903</v>
      </c>
    </row>
    <row r="62" spans="1:7" x14ac:dyDescent="0.2">
      <c r="A62" s="11" t="s">
        <v>167</v>
      </c>
      <c r="B62" s="17">
        <v>2802</v>
      </c>
      <c r="C62" s="17">
        <v>0</v>
      </c>
      <c r="D62" s="17">
        <v>7796</v>
      </c>
      <c r="E62" s="17">
        <v>7796</v>
      </c>
      <c r="F62" s="17">
        <v>6935</v>
      </c>
      <c r="G62" s="18">
        <v>0.21842980623528119</v>
      </c>
    </row>
    <row r="63" spans="1:7" x14ac:dyDescent="0.2">
      <c r="A63" s="11" t="s">
        <v>168</v>
      </c>
      <c r="B63" s="17">
        <v>0</v>
      </c>
      <c r="C63" s="17">
        <v>0</v>
      </c>
      <c r="D63" s="17">
        <v>0</v>
      </c>
      <c r="E63" s="17">
        <v>0</v>
      </c>
      <c r="F63" s="17">
        <v>0</v>
      </c>
      <c r="G63" s="18">
        <v>0</v>
      </c>
    </row>
    <row r="64" spans="1:7" x14ac:dyDescent="0.2">
      <c r="A64" s="11" t="s">
        <v>169</v>
      </c>
      <c r="B64" s="17">
        <v>0</v>
      </c>
      <c r="C64" s="17">
        <v>0</v>
      </c>
      <c r="D64" s="17">
        <v>0</v>
      </c>
      <c r="E64" s="17">
        <v>0</v>
      </c>
      <c r="F64" s="17">
        <v>0</v>
      </c>
      <c r="G64" s="18">
        <v>0</v>
      </c>
    </row>
    <row r="65" spans="1:7" ht="15" customHeight="1" x14ac:dyDescent="0.2">
      <c r="A65" s="19" t="s">
        <v>110</v>
      </c>
      <c r="B65" s="24" t="s">
        <v>460</v>
      </c>
      <c r="C65" s="20">
        <f>2325+16983+1458+6150+17800+2000+1250+1750+0+16436+6331+0+4137+4500+5275+2753+3589+3500+6524+1600+1696+1250+9000+1050+3939+5107+2375+3279+1000+1500+2750+3259+6297+7450+1200+6400+3382+3075+6750+0+1100+10360+4000+13225+7500+5000+5250+6900+2300+3350+2500+0+0+0+0+0+0+0+0+0</f>
        <v>236605</v>
      </c>
      <c r="D65" s="20">
        <f>56848+229756+72290+35732+295867+77833+25110+9268+273+183817+83610+28351+33685+168028+69590+38225+41787+48173+75954+24662+33130+44184+75061+52198+41312+68671+44111+41489+49361+11862+26199+36716+120934+91967+69306+83954+42057+56702+79953+30255+71792+29154+73705+280176+52221+24272+78508+83132+22060+56961+34474+12438+7517+7365+12149+17277+7796+0+0+0</f>
        <v>3569278</v>
      </c>
      <c r="E65" s="20">
        <f>SUM(C65:D65)</f>
        <v>3805883</v>
      </c>
      <c r="F65" s="24" t="s">
        <v>459</v>
      </c>
      <c r="G65" s="21" t="s">
        <v>458</v>
      </c>
    </row>
    <row r="66" spans="1:7" ht="15" customHeight="1" x14ac:dyDescent="0.2">
      <c r="A66" s="74" t="s">
        <v>171</v>
      </c>
      <c r="B66" s="74"/>
      <c r="C66" s="74"/>
      <c r="D66" s="74"/>
      <c r="E66" s="74"/>
      <c r="F66" s="74"/>
      <c r="G66" s="74"/>
    </row>
    <row r="67" spans="1:7" ht="15" customHeight="1" x14ac:dyDescent="0.2">
      <c r="A67" s="67" t="s">
        <v>455</v>
      </c>
      <c r="B67" s="67"/>
      <c r="C67" s="67"/>
      <c r="D67" s="67"/>
      <c r="E67" s="67"/>
      <c r="F67" s="67"/>
      <c r="G67" s="67"/>
    </row>
    <row r="68" spans="1:7" ht="15" customHeight="1" x14ac:dyDescent="0.2">
      <c r="A68" s="67" t="s">
        <v>456</v>
      </c>
      <c r="B68" s="67"/>
      <c r="C68" s="67"/>
      <c r="D68" s="67"/>
      <c r="E68" s="67"/>
      <c r="F68" s="67"/>
      <c r="G68" s="67"/>
    </row>
    <row r="69" spans="1:7" ht="15" customHeight="1" x14ac:dyDescent="0.2">
      <c r="A69" s="67" t="s">
        <v>457</v>
      </c>
      <c r="B69" s="67"/>
      <c r="C69" s="67"/>
      <c r="D69" s="67"/>
      <c r="E69" s="67"/>
      <c r="F69" s="67"/>
      <c r="G69" s="67"/>
    </row>
  </sheetData>
  <mergeCells count="8">
    <mergeCell ref="A69:G69"/>
    <mergeCell ref="A4:A5"/>
    <mergeCell ref="B4:B5"/>
    <mergeCell ref="F4:F5"/>
    <mergeCell ref="G4:G5"/>
    <mergeCell ref="A66:G66"/>
    <mergeCell ref="A67:G67"/>
    <mergeCell ref="A68:G6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2" t="s">
        <v>395</v>
      </c>
      <c r="B1" s="10"/>
      <c r="C1" s="10"/>
      <c r="D1" s="10"/>
      <c r="E1" s="10"/>
      <c r="F1" s="10"/>
      <c r="G1" s="12" t="s">
        <v>396</v>
      </c>
    </row>
    <row r="2" spans="1:7" x14ac:dyDescent="0.2">
      <c r="A2" s="13" t="s">
        <v>397</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884343</v>
      </c>
      <c r="C6" s="17">
        <v>3363</v>
      </c>
      <c r="D6" s="17">
        <v>784419</v>
      </c>
      <c r="E6" s="17">
        <v>787782</v>
      </c>
      <c r="F6" s="17">
        <v>0</v>
      </c>
      <c r="G6" s="18">
        <f>IF(AND(F65&lt;&gt;0,0&lt;&gt;0),IF(100*0/(F65-0)&lt;0.005,"*",100*0/(F65-0)),0)</f>
        <v>0</v>
      </c>
    </row>
    <row r="7" spans="1:7" x14ac:dyDescent="0.2">
      <c r="A7" s="11" t="s">
        <v>112</v>
      </c>
      <c r="B7" s="17">
        <v>603186</v>
      </c>
      <c r="C7" s="17">
        <v>96138</v>
      </c>
      <c r="D7" s="17">
        <v>522571</v>
      </c>
      <c r="E7" s="17">
        <v>618709</v>
      </c>
      <c r="F7" s="17">
        <v>0</v>
      </c>
      <c r="G7" s="18">
        <f>IF(AND(F65&lt;&gt;0,0&lt;&gt;0),IF(100*0/(F65-0)&lt;0.005,"*",100*0/(F65-0)),0)</f>
        <v>0</v>
      </c>
    </row>
    <row r="8" spans="1:7" x14ac:dyDescent="0.2">
      <c r="A8" s="11" t="s">
        <v>113</v>
      </c>
      <c r="B8" s="17">
        <v>732511</v>
      </c>
      <c r="C8" s="17">
        <v>107572</v>
      </c>
      <c r="D8" s="17">
        <v>742149</v>
      </c>
      <c r="E8" s="17">
        <v>849721</v>
      </c>
      <c r="F8" s="17">
        <v>0</v>
      </c>
      <c r="G8" s="18">
        <f>IF(AND(F65&lt;&gt;0,0&lt;&gt;0),IF(100*0/(F65-0)&lt;0.005,"*",100*0/(F65-0)),0)</f>
        <v>0</v>
      </c>
    </row>
    <row r="9" spans="1:7" x14ac:dyDescent="0.2">
      <c r="A9" s="11" t="s">
        <v>114</v>
      </c>
      <c r="B9" s="17">
        <v>581556</v>
      </c>
      <c r="C9" s="17">
        <v>74255</v>
      </c>
      <c r="D9" s="17">
        <v>526410</v>
      </c>
      <c r="E9" s="17">
        <v>600665</v>
      </c>
      <c r="F9" s="17">
        <v>0</v>
      </c>
      <c r="G9" s="18">
        <f>IF(AND(F65&lt;&gt;0,0&lt;&gt;0),IF(100*0/(F65-0)&lt;0.005,"*",100*0/(F65-0)),0)</f>
        <v>0</v>
      </c>
    </row>
    <row r="10" spans="1:7" x14ac:dyDescent="0.2">
      <c r="A10" s="11" t="s">
        <v>115</v>
      </c>
      <c r="B10" s="17">
        <v>3865651</v>
      </c>
      <c r="C10" s="17">
        <v>314840</v>
      </c>
      <c r="D10" s="17">
        <v>3680319</v>
      </c>
      <c r="E10" s="17">
        <v>3995159</v>
      </c>
      <c r="F10" s="17">
        <v>0</v>
      </c>
      <c r="G10" s="18">
        <f>IF(AND(F65&lt;&gt;0,0&lt;&gt;0),IF(100*0/(F65-0)&lt;0.005,"*",100*0/(F65-0)),0)</f>
        <v>0</v>
      </c>
    </row>
    <row r="11" spans="1:7" x14ac:dyDescent="0.2">
      <c r="A11" s="11" t="s">
        <v>116</v>
      </c>
      <c r="B11" s="17">
        <v>724497</v>
      </c>
      <c r="C11" s="17">
        <v>0</v>
      </c>
      <c r="D11" s="17">
        <v>543081</v>
      </c>
      <c r="E11" s="17">
        <v>543081</v>
      </c>
      <c r="F11" s="17">
        <v>0</v>
      </c>
      <c r="G11" s="18">
        <f>IF(AND(F65&lt;&gt;0,0&lt;&gt;0),IF(100*0/(F65-0)&lt;0.005,"*",100*0/(F65-0)),0)</f>
        <v>0</v>
      </c>
    </row>
    <row r="12" spans="1:7" x14ac:dyDescent="0.2">
      <c r="A12" s="11" t="s">
        <v>117</v>
      </c>
      <c r="B12" s="17">
        <v>610594</v>
      </c>
      <c r="C12" s="17">
        <v>66261</v>
      </c>
      <c r="D12" s="17">
        <v>528504</v>
      </c>
      <c r="E12" s="17">
        <v>594765</v>
      </c>
      <c r="F12" s="17">
        <v>0</v>
      </c>
      <c r="G12" s="18">
        <f>IF(AND(F65&lt;&gt;0,0&lt;&gt;0),IF(100*0/(F65-0)&lt;0.005,"*",100*0/(F65-0)),0)</f>
        <v>0</v>
      </c>
    </row>
    <row r="13" spans="1:7" x14ac:dyDescent="0.2">
      <c r="A13" s="11" t="s">
        <v>118</v>
      </c>
      <c r="B13" s="17">
        <v>192319</v>
      </c>
      <c r="C13" s="17">
        <v>11141</v>
      </c>
      <c r="D13" s="17">
        <v>181776</v>
      </c>
      <c r="E13" s="17">
        <v>192917</v>
      </c>
      <c r="F13" s="17">
        <v>0</v>
      </c>
      <c r="G13" s="18">
        <f>IF(AND(F65&lt;&gt;0,0&lt;&gt;0),IF(100*0/(F65-0)&lt;0.005,"*",100*0/(F65-0)),0)</f>
        <v>0</v>
      </c>
    </row>
    <row r="14" spans="1:7" x14ac:dyDescent="0.2">
      <c r="A14" s="11" t="s">
        <v>119</v>
      </c>
      <c r="B14" s="17">
        <v>170555</v>
      </c>
      <c r="C14" s="17">
        <v>17469</v>
      </c>
      <c r="D14" s="17">
        <v>165150</v>
      </c>
      <c r="E14" s="17">
        <v>182619</v>
      </c>
      <c r="F14" s="17">
        <v>0</v>
      </c>
      <c r="G14" s="18">
        <f>IF(AND(F65&lt;&gt;0,0&lt;&gt;0),IF(100*0/(F65-0)&lt;0.005,"*",100*0/(F65-0)),0)</f>
        <v>0</v>
      </c>
    </row>
    <row r="15" spans="1:7" x14ac:dyDescent="0.2">
      <c r="A15" s="11" t="s">
        <v>120</v>
      </c>
      <c r="B15" s="17">
        <v>2134595</v>
      </c>
      <c r="C15" s="17">
        <v>170081</v>
      </c>
      <c r="D15" s="17">
        <v>1915153</v>
      </c>
      <c r="E15" s="17">
        <v>2085234</v>
      </c>
      <c r="F15" s="17">
        <v>0</v>
      </c>
      <c r="G15" s="18">
        <f>IF(AND(F65&lt;&gt;0,0&lt;&gt;0),IF(100*0/(F65-0)&lt;0.005,"*",100*0/(F65-0)),0)</f>
        <v>0</v>
      </c>
    </row>
    <row r="16" spans="1:7" x14ac:dyDescent="0.2">
      <c r="A16" s="11" t="s">
        <v>121</v>
      </c>
      <c r="B16" s="17">
        <v>1412637</v>
      </c>
      <c r="C16" s="17">
        <v>115868</v>
      </c>
      <c r="D16" s="17">
        <v>1308307</v>
      </c>
      <c r="E16" s="17">
        <v>1424175</v>
      </c>
      <c r="F16" s="17">
        <v>0</v>
      </c>
      <c r="G16" s="18">
        <f>IF(AND(F65&lt;&gt;0,0&lt;&gt;0),IF(100*0/(F65-0)&lt;0.005,"*",100*0/(F65-0)),0)</f>
        <v>0</v>
      </c>
    </row>
    <row r="17" spans="1:7" x14ac:dyDescent="0.2">
      <c r="A17" s="11" t="s">
        <v>122</v>
      </c>
      <c r="B17" s="17">
        <v>188587</v>
      </c>
      <c r="C17" s="17">
        <v>44932</v>
      </c>
      <c r="D17" s="17">
        <v>172622</v>
      </c>
      <c r="E17" s="17">
        <v>217554</v>
      </c>
      <c r="F17" s="17">
        <v>0</v>
      </c>
      <c r="G17" s="18">
        <f>IF(AND(F65&lt;&gt;0,0&lt;&gt;0),IF(100*0/(F65-0)&lt;0.005,"*",100*0/(F65-0)),0)</f>
        <v>0</v>
      </c>
    </row>
    <row r="18" spans="1:7" x14ac:dyDescent="0.2">
      <c r="A18" s="11" t="s">
        <v>123</v>
      </c>
      <c r="B18" s="17">
        <v>438658</v>
      </c>
      <c r="C18" s="17">
        <v>2436</v>
      </c>
      <c r="D18" s="17">
        <v>292698</v>
      </c>
      <c r="E18" s="17">
        <v>295134</v>
      </c>
      <c r="F18" s="17">
        <v>0</v>
      </c>
      <c r="G18" s="18">
        <f>IF(AND(F65&lt;&gt;0,0&lt;&gt;0),IF(100*0/(F65-0)&lt;0.005,"*",100*0/(F65-0)),0)</f>
        <v>0</v>
      </c>
    </row>
    <row r="19" spans="1:7" x14ac:dyDescent="0.2">
      <c r="A19" s="11" t="s">
        <v>124</v>
      </c>
      <c r="B19" s="17">
        <v>1502277</v>
      </c>
      <c r="C19" s="17">
        <v>101665</v>
      </c>
      <c r="D19" s="17">
        <v>1457383</v>
      </c>
      <c r="E19" s="17">
        <v>1559048</v>
      </c>
      <c r="F19" s="17">
        <v>0</v>
      </c>
      <c r="G19" s="18">
        <f>IF(AND(F65&lt;&gt;0,0&lt;&gt;0),IF(100*0/(F65-0)&lt;0.005,"*",100*0/(F65-0)),0)</f>
        <v>0</v>
      </c>
    </row>
    <row r="20" spans="1:7" x14ac:dyDescent="0.2">
      <c r="A20" s="11" t="s">
        <v>125</v>
      </c>
      <c r="B20" s="17">
        <v>1009565</v>
      </c>
      <c r="C20" s="17">
        <v>114259</v>
      </c>
      <c r="D20" s="17">
        <v>962814</v>
      </c>
      <c r="E20" s="17">
        <v>1077073</v>
      </c>
      <c r="F20" s="17">
        <v>0</v>
      </c>
      <c r="G20" s="18">
        <f>IF(AND(F65&lt;&gt;0,0&lt;&gt;0),IF(100*0/(F65-0)&lt;0.005,"*",100*0/(F65-0)),0)</f>
        <v>0</v>
      </c>
    </row>
    <row r="21" spans="1:7" x14ac:dyDescent="0.2">
      <c r="A21" s="11" t="s">
        <v>126</v>
      </c>
      <c r="B21" s="17">
        <v>522608</v>
      </c>
      <c r="C21" s="17">
        <v>106258</v>
      </c>
      <c r="D21" s="17">
        <v>517073</v>
      </c>
      <c r="E21" s="17">
        <v>623331</v>
      </c>
      <c r="F21" s="17">
        <v>0</v>
      </c>
      <c r="G21" s="18">
        <f>IF(AND(F65&lt;&gt;0,0&lt;&gt;0),IF(100*0/(F65-0)&lt;0.005,"*",100*0/(F65-0)),0)</f>
        <v>0</v>
      </c>
    </row>
    <row r="22" spans="1:7" x14ac:dyDescent="0.2">
      <c r="A22" s="11" t="s">
        <v>127</v>
      </c>
      <c r="B22" s="17">
        <v>458825</v>
      </c>
      <c r="C22" s="17">
        <v>43290</v>
      </c>
      <c r="D22" s="17">
        <v>385364</v>
      </c>
      <c r="E22" s="17">
        <v>428654</v>
      </c>
      <c r="F22" s="17">
        <v>0</v>
      </c>
      <c r="G22" s="18">
        <f>IF(AND(F65&lt;&gt;0,0&lt;&gt;0),IF(100*0/(F65-0)&lt;0.005,"*",100*0/(F65-0)),0)</f>
        <v>0</v>
      </c>
    </row>
    <row r="23" spans="1:7" x14ac:dyDescent="0.2">
      <c r="A23" s="11" t="s">
        <v>128</v>
      </c>
      <c r="B23" s="17">
        <v>844283</v>
      </c>
      <c r="C23" s="17">
        <v>28971</v>
      </c>
      <c r="D23" s="17">
        <v>681619</v>
      </c>
      <c r="E23" s="17">
        <v>710590</v>
      </c>
      <c r="F23" s="17">
        <v>0</v>
      </c>
      <c r="G23" s="18">
        <f>IF(AND(F65&lt;&gt;0,0&lt;&gt;0),IF(100*0/(F65-0)&lt;0.005,"*",100*0/(F65-0)),0)</f>
        <v>0</v>
      </c>
    </row>
    <row r="24" spans="1:7" x14ac:dyDescent="0.2">
      <c r="A24" s="11" t="s">
        <v>129</v>
      </c>
      <c r="B24" s="17">
        <v>782700</v>
      </c>
      <c r="C24" s="17">
        <v>91662</v>
      </c>
      <c r="D24" s="17">
        <v>724025</v>
      </c>
      <c r="E24" s="17">
        <v>815687</v>
      </c>
      <c r="F24" s="17">
        <v>0</v>
      </c>
      <c r="G24" s="18">
        <f>IF(AND(F65&lt;&gt;0,0&lt;&gt;0),IF(100*0/(F65-0)&lt;0.005,"*",100*0/(F65-0)),0)</f>
        <v>0</v>
      </c>
    </row>
    <row r="25" spans="1:7" x14ac:dyDescent="0.2">
      <c r="A25" s="11" t="s">
        <v>130</v>
      </c>
      <c r="B25" s="17">
        <v>204579</v>
      </c>
      <c r="C25" s="17">
        <v>32691</v>
      </c>
      <c r="D25" s="17">
        <v>203739</v>
      </c>
      <c r="E25" s="17">
        <v>236430</v>
      </c>
      <c r="F25" s="17">
        <v>0</v>
      </c>
      <c r="G25" s="18">
        <f>IF(AND(F65&lt;&gt;0,0&lt;&gt;0),IF(100*0/(F65-0)&lt;0.005,"*",100*0/(F65-0)),0)</f>
        <v>0</v>
      </c>
    </row>
    <row r="26" spans="1:7" x14ac:dyDescent="0.2">
      <c r="A26" s="11" t="s">
        <v>131</v>
      </c>
      <c r="B26" s="17">
        <v>627094</v>
      </c>
      <c r="C26" s="17">
        <v>29773</v>
      </c>
      <c r="D26" s="17">
        <v>611185</v>
      </c>
      <c r="E26" s="17">
        <v>640958</v>
      </c>
      <c r="F26" s="17">
        <v>0</v>
      </c>
      <c r="G26" s="18">
        <f>IF(AND(F65&lt;&gt;0,0&lt;&gt;0),IF(100*0/(F65-0)&lt;0.005,"*",100*0/(F65-0)),0)</f>
        <v>0</v>
      </c>
    </row>
    <row r="27" spans="1:7" x14ac:dyDescent="0.2">
      <c r="A27" s="11" t="s">
        <v>132</v>
      </c>
      <c r="B27" s="17">
        <v>646424</v>
      </c>
      <c r="C27" s="17">
        <v>102989</v>
      </c>
      <c r="D27" s="17">
        <v>637442</v>
      </c>
      <c r="E27" s="17">
        <v>740431</v>
      </c>
      <c r="F27" s="17">
        <v>0</v>
      </c>
      <c r="G27" s="18">
        <f>IF(AND(F65&lt;&gt;0,0&lt;&gt;0),IF(100*0/(F65-0)&lt;0.005,"*",100*0/(F65-0)),0)</f>
        <v>0</v>
      </c>
    </row>
    <row r="28" spans="1:7" x14ac:dyDescent="0.2">
      <c r="A28" s="11" t="s">
        <v>133</v>
      </c>
      <c r="B28" s="17">
        <v>1182755</v>
      </c>
      <c r="C28" s="17">
        <v>153012</v>
      </c>
      <c r="D28" s="17">
        <v>1081601</v>
      </c>
      <c r="E28" s="17">
        <v>1234613</v>
      </c>
      <c r="F28" s="17">
        <v>0</v>
      </c>
      <c r="G28" s="18">
        <f>IF(AND(F65&lt;&gt;0,0&lt;&gt;0),IF(100*0/(F65-0)&lt;0.005,"*",100*0/(F65-0)),0)</f>
        <v>0</v>
      </c>
    </row>
    <row r="29" spans="1:7" x14ac:dyDescent="0.2">
      <c r="A29" s="11" t="s">
        <v>134</v>
      </c>
      <c r="B29" s="17">
        <v>751998</v>
      </c>
      <c r="C29" s="17">
        <v>6846</v>
      </c>
      <c r="D29" s="17">
        <v>661893</v>
      </c>
      <c r="E29" s="17">
        <v>668739</v>
      </c>
      <c r="F29" s="17">
        <v>0</v>
      </c>
      <c r="G29" s="18">
        <f>IF(AND(F65&lt;&gt;0,0&lt;&gt;0),IF(100*0/(F65-0)&lt;0.005,"*",100*0/(F65-0)),0)</f>
        <v>0</v>
      </c>
    </row>
    <row r="30" spans="1:7" x14ac:dyDescent="0.2">
      <c r="A30" s="11" t="s">
        <v>135</v>
      </c>
      <c r="B30" s="17">
        <v>547908</v>
      </c>
      <c r="C30" s="17">
        <v>71031</v>
      </c>
      <c r="D30" s="17">
        <v>486992</v>
      </c>
      <c r="E30" s="17">
        <v>558023</v>
      </c>
      <c r="F30" s="17">
        <v>0</v>
      </c>
      <c r="G30" s="18">
        <f>IF(AND(F65&lt;&gt;0,0&lt;&gt;0),IF(100*0/(F65-0)&lt;0.005,"*",100*0/(F65-0)),0)</f>
        <v>0</v>
      </c>
    </row>
    <row r="31" spans="1:7" x14ac:dyDescent="0.2">
      <c r="A31" s="11" t="s">
        <v>136</v>
      </c>
      <c r="B31" s="17">
        <v>1041804</v>
      </c>
      <c r="C31" s="17">
        <v>136683</v>
      </c>
      <c r="D31" s="17">
        <v>967676</v>
      </c>
      <c r="E31" s="17">
        <v>1104359</v>
      </c>
      <c r="F31" s="17">
        <v>0</v>
      </c>
      <c r="G31" s="18">
        <f>IF(AND(F65&lt;&gt;0,0&lt;&gt;0),IF(100*0/(F65-0)&lt;0.005,"*",100*0/(F65-0)),0)</f>
        <v>0</v>
      </c>
    </row>
    <row r="32" spans="1:7" x14ac:dyDescent="0.2">
      <c r="A32" s="11" t="s">
        <v>137</v>
      </c>
      <c r="B32" s="17">
        <v>478363</v>
      </c>
      <c r="C32" s="17">
        <v>48316</v>
      </c>
      <c r="D32" s="17">
        <v>430217</v>
      </c>
      <c r="E32" s="17">
        <v>478533</v>
      </c>
      <c r="F32" s="17">
        <v>0</v>
      </c>
      <c r="G32" s="18">
        <f>IF(AND(F65&lt;&gt;0,0&lt;&gt;0),IF(100*0/(F65-0)&lt;0.005,"*",100*0/(F65-0)),0)</f>
        <v>0</v>
      </c>
    </row>
    <row r="33" spans="1:7" x14ac:dyDescent="0.2">
      <c r="A33" s="11" t="s">
        <v>138</v>
      </c>
      <c r="B33" s="17">
        <v>334589</v>
      </c>
      <c r="C33" s="17">
        <v>84228</v>
      </c>
      <c r="D33" s="17">
        <v>302466</v>
      </c>
      <c r="E33" s="17">
        <v>386694</v>
      </c>
      <c r="F33" s="17">
        <v>0</v>
      </c>
      <c r="G33" s="18">
        <f>IF(AND(F65&lt;&gt;0,0&lt;&gt;0),IF(100*0/(F65-0)&lt;0.005,"*",100*0/(F65-0)),0)</f>
        <v>0</v>
      </c>
    </row>
    <row r="34" spans="1:7" x14ac:dyDescent="0.2">
      <c r="A34" s="11" t="s">
        <v>139</v>
      </c>
      <c r="B34" s="17">
        <v>357745</v>
      </c>
      <c r="C34" s="17">
        <v>42926</v>
      </c>
      <c r="D34" s="17">
        <v>368612</v>
      </c>
      <c r="E34" s="17">
        <v>411538</v>
      </c>
      <c r="F34" s="17">
        <v>0</v>
      </c>
      <c r="G34" s="18">
        <f>IF(AND(F65&lt;&gt;0,0&lt;&gt;0),IF(100*0/(F65-0)&lt;0.005,"*",100*0/(F65-0)),0)</f>
        <v>0</v>
      </c>
    </row>
    <row r="35" spans="1:7" x14ac:dyDescent="0.2">
      <c r="A35" s="11" t="s">
        <v>140</v>
      </c>
      <c r="B35" s="17">
        <v>197261</v>
      </c>
      <c r="C35" s="17">
        <v>27877</v>
      </c>
      <c r="D35" s="17">
        <v>184140</v>
      </c>
      <c r="E35" s="17">
        <v>212017</v>
      </c>
      <c r="F35" s="17">
        <v>0</v>
      </c>
      <c r="G35" s="18">
        <f>IF(AND(F65&lt;&gt;0,0&lt;&gt;0),IF(100*0/(F65-0)&lt;0.005,"*",100*0/(F65-0)),0)</f>
        <v>0</v>
      </c>
    </row>
    <row r="36" spans="1:7" x14ac:dyDescent="0.2">
      <c r="A36" s="11" t="s">
        <v>141</v>
      </c>
      <c r="B36" s="17">
        <v>1065831</v>
      </c>
      <c r="C36" s="17">
        <v>106625</v>
      </c>
      <c r="D36" s="17">
        <v>1021967</v>
      </c>
      <c r="E36" s="17">
        <v>1128592</v>
      </c>
      <c r="F36" s="17">
        <v>0</v>
      </c>
      <c r="G36" s="18">
        <f>IF(AND(F65&lt;&gt;0,0&lt;&gt;0),IF(100*0/(F65-0)&lt;0.005,"*",100*0/(F65-0)),0)</f>
        <v>0</v>
      </c>
    </row>
    <row r="37" spans="1:7" x14ac:dyDescent="0.2">
      <c r="A37" s="11" t="s">
        <v>142</v>
      </c>
      <c r="B37" s="17">
        <v>407040</v>
      </c>
      <c r="C37" s="17">
        <v>8672</v>
      </c>
      <c r="D37" s="17">
        <v>366652</v>
      </c>
      <c r="E37" s="17">
        <v>375324</v>
      </c>
      <c r="F37" s="17">
        <v>0</v>
      </c>
      <c r="G37" s="18">
        <f>IF(AND(F65&lt;&gt;0,0&lt;&gt;0),IF(100*0/(F65-0)&lt;0.005,"*",100*0/(F65-0)),0)</f>
        <v>0</v>
      </c>
    </row>
    <row r="38" spans="1:7" x14ac:dyDescent="0.2">
      <c r="A38" s="11" t="s">
        <v>143</v>
      </c>
      <c r="B38" s="17">
        <v>1967277</v>
      </c>
      <c r="C38" s="17">
        <v>358525</v>
      </c>
      <c r="D38" s="17">
        <v>1714391</v>
      </c>
      <c r="E38" s="17">
        <v>2072916</v>
      </c>
      <c r="F38" s="17">
        <v>0</v>
      </c>
      <c r="G38" s="18">
        <f>IF(AND(F65&lt;&gt;0,0&lt;&gt;0),IF(100*0/(F65-0)&lt;0.005,"*",100*0/(F65-0)),0)</f>
        <v>0</v>
      </c>
    </row>
    <row r="39" spans="1:7" x14ac:dyDescent="0.2">
      <c r="A39" s="11" t="s">
        <v>144</v>
      </c>
      <c r="B39" s="17">
        <v>1491713</v>
      </c>
      <c r="C39" s="17">
        <v>26207</v>
      </c>
      <c r="D39" s="17">
        <v>1076992</v>
      </c>
      <c r="E39" s="17">
        <v>1103199</v>
      </c>
      <c r="F39" s="17">
        <v>0</v>
      </c>
      <c r="G39" s="18">
        <f>IF(AND(F65&lt;&gt;0,0&lt;&gt;0),IF(100*0/(F65-0)&lt;0.005,"*",100*0/(F65-0)),0)</f>
        <v>0</v>
      </c>
    </row>
    <row r="40" spans="1:7" x14ac:dyDescent="0.2">
      <c r="A40" s="11" t="s">
        <v>145</v>
      </c>
      <c r="B40" s="17">
        <v>281551</v>
      </c>
      <c r="C40" s="17">
        <v>0</v>
      </c>
      <c r="D40" s="17">
        <v>260490</v>
      </c>
      <c r="E40" s="17">
        <v>260490</v>
      </c>
      <c r="F40" s="17">
        <v>0</v>
      </c>
      <c r="G40" s="18">
        <f>IF(AND(F65&lt;&gt;0,0&lt;&gt;0),IF(100*0/(F65-0)&lt;0.005,"*",100*0/(F65-0)),0)</f>
        <v>0</v>
      </c>
    </row>
    <row r="41" spans="1:7" x14ac:dyDescent="0.2">
      <c r="A41" s="11" t="s">
        <v>146</v>
      </c>
      <c r="B41" s="17">
        <v>1732940</v>
      </c>
      <c r="C41" s="17">
        <v>16498</v>
      </c>
      <c r="D41" s="17">
        <v>1357211</v>
      </c>
      <c r="E41" s="17">
        <v>1373709</v>
      </c>
      <c r="F41" s="17">
        <v>0</v>
      </c>
      <c r="G41" s="18">
        <f>IF(AND(F65&lt;&gt;0,0&lt;&gt;0),IF(100*0/(F65-0)&lt;0.005,"*",100*0/(F65-0)),0)</f>
        <v>0</v>
      </c>
    </row>
    <row r="42" spans="1:7" x14ac:dyDescent="0.2">
      <c r="A42" s="11" t="s">
        <v>147</v>
      </c>
      <c r="B42" s="17">
        <v>806841</v>
      </c>
      <c r="C42" s="17">
        <v>52151</v>
      </c>
      <c r="D42" s="17">
        <v>652814</v>
      </c>
      <c r="E42" s="17">
        <v>704965</v>
      </c>
      <c r="F42" s="17">
        <v>0</v>
      </c>
      <c r="G42" s="18">
        <f>IF(AND(F65&lt;&gt;0,0&lt;&gt;0),IF(100*0/(F65-0)&lt;0.005,"*",100*0/(F65-0)),0)</f>
        <v>0</v>
      </c>
    </row>
    <row r="43" spans="1:7" x14ac:dyDescent="0.2">
      <c r="A43" s="11" t="s">
        <v>148</v>
      </c>
      <c r="B43" s="17">
        <v>503435</v>
      </c>
      <c r="C43" s="17">
        <v>76588</v>
      </c>
      <c r="D43" s="17">
        <v>507483</v>
      </c>
      <c r="E43" s="17">
        <v>584071</v>
      </c>
      <c r="F43" s="17">
        <v>0</v>
      </c>
      <c r="G43" s="18">
        <f>IF(AND(F65&lt;&gt;0,0&lt;&gt;0),IF(100*0/(F65-0)&lt;0.005,"*",100*0/(F65-0)),0)</f>
        <v>0</v>
      </c>
    </row>
    <row r="44" spans="1:7" x14ac:dyDescent="0.2">
      <c r="A44" s="11" t="s">
        <v>149</v>
      </c>
      <c r="B44" s="17">
        <v>1796401</v>
      </c>
      <c r="C44" s="17">
        <v>145006</v>
      </c>
      <c r="D44" s="17">
        <v>1672585</v>
      </c>
      <c r="E44" s="17">
        <v>1817591</v>
      </c>
      <c r="F44" s="17">
        <v>0</v>
      </c>
      <c r="G44" s="18">
        <f>IF(AND(F65&lt;&gt;0,0&lt;&gt;0),IF(100*0/(F65-0)&lt;0.005,"*",100*0/(F65-0)),0)</f>
        <v>0</v>
      </c>
    </row>
    <row r="45" spans="1:7" x14ac:dyDescent="0.2">
      <c r="A45" s="11" t="s">
        <v>150</v>
      </c>
      <c r="B45" s="17">
        <v>238524</v>
      </c>
      <c r="C45" s="17">
        <v>80732</v>
      </c>
      <c r="D45" s="17">
        <v>243255</v>
      </c>
      <c r="E45" s="17">
        <v>323987</v>
      </c>
      <c r="F45" s="17">
        <v>0</v>
      </c>
      <c r="G45" s="18">
        <f>IF(AND(F65&lt;&gt;0,0&lt;&gt;0),IF(100*0/(F65-0)&lt;0.005,"*",100*0/(F65-0)),0)</f>
        <v>0</v>
      </c>
    </row>
    <row r="46" spans="1:7" x14ac:dyDescent="0.2">
      <c r="A46" s="11" t="s">
        <v>151</v>
      </c>
      <c r="B46" s="17">
        <v>755820</v>
      </c>
      <c r="C46" s="17">
        <v>75663</v>
      </c>
      <c r="D46" s="17">
        <v>687690</v>
      </c>
      <c r="E46" s="17">
        <v>763353</v>
      </c>
      <c r="F46" s="17">
        <v>0</v>
      </c>
      <c r="G46" s="18">
        <f>IF(AND(F65&lt;&gt;0,0&lt;&gt;0),IF(100*0/(F65-0)&lt;0.005,"*",100*0/(F65-0)),0)</f>
        <v>0</v>
      </c>
    </row>
    <row r="47" spans="1:7" x14ac:dyDescent="0.2">
      <c r="A47" s="11" t="s">
        <v>152</v>
      </c>
      <c r="B47" s="17">
        <v>352327</v>
      </c>
      <c r="C47" s="17">
        <v>72926</v>
      </c>
      <c r="D47" s="17">
        <v>299836</v>
      </c>
      <c r="E47" s="17">
        <v>372762</v>
      </c>
      <c r="F47" s="17">
        <v>0</v>
      </c>
      <c r="G47" s="18">
        <f>IF(AND(F65&lt;&gt;0,0&lt;&gt;0),IF(100*0/(F65-0)&lt;0.005,"*",100*0/(F65-0)),0)</f>
        <v>0</v>
      </c>
    </row>
    <row r="48" spans="1:7" x14ac:dyDescent="0.2">
      <c r="A48" s="11" t="s">
        <v>153</v>
      </c>
      <c r="B48" s="17">
        <v>985863</v>
      </c>
      <c r="C48" s="17">
        <v>75106</v>
      </c>
      <c r="D48" s="17">
        <v>848826</v>
      </c>
      <c r="E48" s="17">
        <v>923932</v>
      </c>
      <c r="F48" s="17">
        <v>0</v>
      </c>
      <c r="G48" s="18">
        <f>IF(AND(F65&lt;&gt;0,0&lt;&gt;0),IF(100*0/(F65-0)&lt;0.005,"*",100*0/(F65-0)),0)</f>
        <v>0</v>
      </c>
    </row>
    <row r="49" spans="1:7" x14ac:dyDescent="0.2">
      <c r="A49" s="11" t="s">
        <v>154</v>
      </c>
      <c r="B49" s="17">
        <v>3978556</v>
      </c>
      <c r="C49" s="17">
        <v>437421</v>
      </c>
      <c r="D49" s="17">
        <v>3694889</v>
      </c>
      <c r="E49" s="17">
        <v>4132310</v>
      </c>
      <c r="F49" s="17">
        <v>0</v>
      </c>
      <c r="G49" s="18">
        <f>IF(AND(F65&lt;&gt;0,0&lt;&gt;0),IF(100*0/(F65-0)&lt;0.005,"*",100*0/(F65-0)),0)</f>
        <v>0</v>
      </c>
    </row>
    <row r="50" spans="1:7" x14ac:dyDescent="0.2">
      <c r="A50" s="11" t="s">
        <v>155</v>
      </c>
      <c r="B50" s="17">
        <v>383367</v>
      </c>
      <c r="C50" s="17">
        <v>33914</v>
      </c>
      <c r="D50" s="17">
        <v>354442</v>
      </c>
      <c r="E50" s="17">
        <v>388356</v>
      </c>
      <c r="F50" s="17">
        <v>0</v>
      </c>
      <c r="G50" s="18">
        <f>IF(AND(F65&lt;&gt;0,0&lt;&gt;0),IF(100*0/(F65-0)&lt;0.005,"*",100*0/(F65-0)),0)</f>
        <v>0</v>
      </c>
    </row>
    <row r="51" spans="1:7" x14ac:dyDescent="0.2">
      <c r="A51" s="11" t="s">
        <v>156</v>
      </c>
      <c r="B51" s="17">
        <v>218046</v>
      </c>
      <c r="C51" s="17">
        <v>33493</v>
      </c>
      <c r="D51" s="17">
        <v>208103</v>
      </c>
      <c r="E51" s="17">
        <v>241596</v>
      </c>
      <c r="F51" s="17">
        <v>0</v>
      </c>
      <c r="G51" s="18">
        <f>IF(AND(F65&lt;&gt;0,0&lt;&gt;0),IF(100*0/(F65-0)&lt;0.005,"*",100*0/(F65-0)),0)</f>
        <v>0</v>
      </c>
    </row>
    <row r="52" spans="1:7" x14ac:dyDescent="0.2">
      <c r="A52" s="11" t="s">
        <v>157</v>
      </c>
      <c r="B52" s="17">
        <v>1231426</v>
      </c>
      <c r="C52" s="17">
        <v>45864</v>
      </c>
      <c r="D52" s="17">
        <v>1025542</v>
      </c>
      <c r="E52" s="17">
        <v>1071406</v>
      </c>
      <c r="F52" s="17">
        <v>0</v>
      </c>
      <c r="G52" s="18">
        <f>IF(AND(F65&lt;&gt;0,0&lt;&gt;0),IF(100*0/(F65-0)&lt;0.005,"*",100*0/(F65-0)),0)</f>
        <v>0</v>
      </c>
    </row>
    <row r="53" spans="1:7" x14ac:dyDescent="0.2">
      <c r="A53" s="11" t="s">
        <v>158</v>
      </c>
      <c r="B53" s="17">
        <v>718299</v>
      </c>
      <c r="C53" s="17">
        <v>47776</v>
      </c>
      <c r="D53" s="17">
        <v>698282</v>
      </c>
      <c r="E53" s="17">
        <v>746058</v>
      </c>
      <c r="F53" s="17">
        <v>0</v>
      </c>
      <c r="G53" s="18">
        <f>IF(AND(F65&lt;&gt;0,0&lt;&gt;0),IF(100*0/(F65-0)&lt;0.005,"*",100*0/(F65-0)),0)</f>
        <v>0</v>
      </c>
    </row>
    <row r="54" spans="1:7" x14ac:dyDescent="0.2">
      <c r="A54" s="11" t="s">
        <v>159</v>
      </c>
      <c r="B54" s="17">
        <v>499257</v>
      </c>
      <c r="C54" s="17">
        <v>84590</v>
      </c>
      <c r="D54" s="17">
        <v>473619</v>
      </c>
      <c r="E54" s="17">
        <v>558209</v>
      </c>
      <c r="F54" s="17">
        <v>0</v>
      </c>
      <c r="G54" s="18">
        <f>IF(AND(F65&lt;&gt;0,0&lt;&gt;0),IF(100*0/(F65-0)&lt;0.005,"*",100*0/(F65-0)),0)</f>
        <v>0</v>
      </c>
    </row>
    <row r="55" spans="1:7" x14ac:dyDescent="0.2">
      <c r="A55" s="11" t="s">
        <v>160</v>
      </c>
      <c r="B55" s="17">
        <v>988167</v>
      </c>
      <c r="C55" s="17">
        <v>52090</v>
      </c>
      <c r="D55" s="17">
        <v>763105</v>
      </c>
      <c r="E55" s="17">
        <v>815195</v>
      </c>
      <c r="F55" s="17">
        <v>0</v>
      </c>
      <c r="G55" s="18">
        <f>IF(AND(F65&lt;&gt;0,0&lt;&gt;0),IF(100*0/(F65-0)&lt;0.005,"*",100*0/(F65-0)),0)</f>
        <v>0</v>
      </c>
    </row>
    <row r="56" spans="1:7" x14ac:dyDescent="0.2">
      <c r="A56" s="11" t="s">
        <v>161</v>
      </c>
      <c r="B56" s="17">
        <v>306761</v>
      </c>
      <c r="C56" s="17">
        <v>50039</v>
      </c>
      <c r="D56" s="17">
        <v>276204</v>
      </c>
      <c r="E56" s="17">
        <v>326243</v>
      </c>
      <c r="F56" s="17">
        <v>0</v>
      </c>
      <c r="G56" s="18">
        <f>IF(AND(F65&lt;&gt;0,0&lt;&gt;0),IF(100*0/(F65-0)&lt;0.005,"*",100*0/(F65-0)),0)</f>
        <v>0</v>
      </c>
    </row>
    <row r="57" spans="1:7" x14ac:dyDescent="0.2">
      <c r="A57" s="11" t="s">
        <v>162</v>
      </c>
      <c r="B57" s="17">
        <v>7071</v>
      </c>
      <c r="C57" s="17">
        <v>920</v>
      </c>
      <c r="D57" s="17">
        <v>6446</v>
      </c>
      <c r="E57" s="17">
        <v>7366</v>
      </c>
      <c r="F57" s="17">
        <v>0</v>
      </c>
      <c r="G57" s="18">
        <f>IF(AND(F65&lt;&gt;0,0&lt;&gt;0),IF(100*0/(F65-0)&lt;0.005,"*",100*0/(F65-0)),0)</f>
        <v>0</v>
      </c>
    </row>
    <row r="58" spans="1:7" x14ac:dyDescent="0.2">
      <c r="A58" s="11" t="s">
        <v>163</v>
      </c>
      <c r="B58" s="17">
        <v>21052</v>
      </c>
      <c r="C58" s="17">
        <v>3504</v>
      </c>
      <c r="D58" s="17">
        <v>19268</v>
      </c>
      <c r="E58" s="17">
        <v>22772</v>
      </c>
      <c r="F58" s="17">
        <v>0</v>
      </c>
      <c r="G58" s="18">
        <f>IF(AND(F65&lt;&gt;0,0&lt;&gt;0),IF(100*0/(F65-0)&lt;0.005,"*",100*0/(F65-0)),0)</f>
        <v>0</v>
      </c>
    </row>
    <row r="59" spans="1:7" x14ac:dyDescent="0.2">
      <c r="A59" s="11" t="s">
        <v>164</v>
      </c>
      <c r="B59" s="17">
        <v>1449</v>
      </c>
      <c r="C59" s="17">
        <v>555</v>
      </c>
      <c r="D59" s="17">
        <v>1381</v>
      </c>
      <c r="E59" s="17">
        <v>1936</v>
      </c>
      <c r="F59" s="17">
        <v>0</v>
      </c>
      <c r="G59" s="18">
        <f>IF(AND(F65&lt;&gt;0,0&lt;&gt;0),IF(100*0/(F65-0)&lt;0.005,"*",100*0/(F65-0)),0)</f>
        <v>0</v>
      </c>
    </row>
    <row r="60" spans="1:7" x14ac:dyDescent="0.2">
      <c r="A60" s="11" t="s">
        <v>165</v>
      </c>
      <c r="B60" s="17">
        <v>235690</v>
      </c>
      <c r="C60" s="17">
        <v>203636</v>
      </c>
      <c r="D60" s="17">
        <v>134479</v>
      </c>
      <c r="E60" s="17">
        <v>338115</v>
      </c>
      <c r="F60" s="17">
        <v>0</v>
      </c>
      <c r="G60" s="18">
        <f>IF(AND(F65&lt;&gt;0,0&lt;&gt;0),IF(100*0/(F65-0)&lt;0.005,"*",100*0/(F65-0)),0)</f>
        <v>0</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12660</v>
      </c>
      <c r="C62" s="17">
        <v>24361</v>
      </c>
      <c r="D62" s="17">
        <v>11707</v>
      </c>
      <c r="E62" s="17">
        <v>36068</v>
      </c>
      <c r="F62" s="17">
        <v>0</v>
      </c>
      <c r="G62" s="18">
        <f>IF(AND(F65&lt;&gt;0,0&lt;&gt;0),IF(100*0/(F65-0)&lt;0.005,"*",100*0/(F65-0)),0)</f>
        <v>0</v>
      </c>
    </row>
    <row r="63" spans="1:7" x14ac:dyDescent="0.2">
      <c r="A63" s="11" t="s">
        <v>168</v>
      </c>
      <c r="B63" s="17">
        <v>0</v>
      </c>
      <c r="C63" s="17">
        <v>0</v>
      </c>
      <c r="D63" s="17">
        <v>0</v>
      </c>
      <c r="E63" s="17">
        <v>0</v>
      </c>
      <c r="F63" s="17">
        <v>0</v>
      </c>
      <c r="G63" s="18">
        <f>IF(AND(F65&lt;&gt;0,0&lt;&gt;0),IF(100*0/(F65-0)&lt;0.005,"*",100*0/(F65-0)),0)</f>
        <v>0</v>
      </c>
    </row>
    <row r="64" spans="1:7" ht="15" x14ac:dyDescent="0.2">
      <c r="A64" s="11" t="s">
        <v>169</v>
      </c>
      <c r="B64" s="17">
        <v>0</v>
      </c>
      <c r="C64" s="22" t="s">
        <v>398</v>
      </c>
      <c r="D64" s="22" t="s">
        <v>399</v>
      </c>
      <c r="E64" s="17">
        <v>8244795</v>
      </c>
      <c r="F64" s="17">
        <v>0</v>
      </c>
      <c r="G64" s="18">
        <v>0</v>
      </c>
    </row>
    <row r="65" spans="1:7" ht="15" customHeight="1" x14ac:dyDescent="0.2">
      <c r="A65" s="19" t="s">
        <v>110</v>
      </c>
      <c r="B65" s="20">
        <f>884343+603186+732511+581556+3865651+724497+610594+192319+170555+2134595+1412637+188587+438658+1502277+1009565+522608+458825+844283+782700+204579+627094+646424+1182755+751998+547908+1041804+478363+334589+357745+197261+1065831+407040+1967277+1491713+281551+1732940+806841+503435+1796401+238524+755820+352327+985863+3978556+383367+218046+1231426+718299+499257+988167+306761+7071+21052+1449+235690+0+12660+0+0+0</f>
        <v>45017831</v>
      </c>
      <c r="C65" s="20">
        <f>3363+96138+107572+74255+314840+0+66261+11141+17469+170081+115868+44932+2436+101665+114259+106258+43290+28971+91662+32691+29773+102989+153012+6846+71031+136683+48316+84228+42926+27877+106625+8672+358525+26207+0+16498+52151+76588+145006+80732+75663+72926+75106+437421+33914+33493+45864+47776+84590+52090+50039+920+3504+555+203636+0+24361+0+665393+0</f>
        <v>5025088</v>
      </c>
      <c r="D65" s="20">
        <f>784419+522571+742149+526410+3680319+543081+528504+181776+165150+1915153+1308307+172622+292698+1457383+962814+517073+385364+681619+724025+203739+611185+637442+1081601+661893+486992+967676+430217+302466+368612+184140+1021967+366652+1714391+1076992+260490+1357211+652814+507483+1672585+243255+687690+299836+848826+3694889+354442+208103+1025542+698282+473619+763105+276204+6446+19268+1381+134479+0+11707+0+7579402+0</f>
        <v>47984461</v>
      </c>
      <c r="E65" s="24" t="s">
        <v>444</v>
      </c>
      <c r="F65" s="20">
        <f>0+0+0+0+0+0+0+0+0+0+0+0+0+0+0+0+0+0+0+0+0+0+0+0+0+0+0+0+0+0+0+0+0+0+0+0+0+0+0+0+0+0+0+0+0+0+0+0+0+0+0+0+0+0+0+0+0+0+0+0</f>
        <v>0</v>
      </c>
      <c r="G65" s="23" t="s">
        <v>189</v>
      </c>
    </row>
    <row r="66" spans="1:7" ht="15" customHeight="1" x14ac:dyDescent="0.2">
      <c r="A66" s="74" t="s">
        <v>171</v>
      </c>
      <c r="B66" s="74"/>
      <c r="C66" s="74"/>
      <c r="D66" s="74"/>
      <c r="E66" s="74"/>
      <c r="F66" s="74"/>
      <c r="G66" s="74"/>
    </row>
    <row r="67" spans="1:7" ht="15" customHeight="1" x14ac:dyDescent="0.2">
      <c r="A67" s="75" t="s">
        <v>400</v>
      </c>
      <c r="B67" s="75"/>
      <c r="C67" s="75"/>
      <c r="D67" s="75"/>
      <c r="E67" s="75"/>
      <c r="F67" s="75"/>
      <c r="G67" s="75"/>
    </row>
    <row r="68" spans="1:7" ht="15" customHeight="1" x14ac:dyDescent="0.2">
      <c r="A68" s="67" t="s">
        <v>401</v>
      </c>
      <c r="B68" s="67"/>
      <c r="C68" s="67"/>
      <c r="D68" s="67"/>
      <c r="E68" s="67"/>
      <c r="F68" s="67"/>
      <c r="G68" s="67"/>
    </row>
    <row r="69" spans="1:7" ht="27.75" customHeight="1" x14ac:dyDescent="0.2">
      <c r="A69" s="67" t="s">
        <v>443</v>
      </c>
      <c r="B69" s="67"/>
      <c r="C69" s="67"/>
      <c r="D69" s="67"/>
      <c r="E69" s="67"/>
      <c r="F69" s="67"/>
      <c r="G69" s="67"/>
    </row>
  </sheetData>
  <mergeCells count="8">
    <mergeCell ref="A69:G69"/>
    <mergeCell ref="A68:G68"/>
    <mergeCell ref="A4:A5"/>
    <mergeCell ref="B4:B5"/>
    <mergeCell ref="F4:F5"/>
    <mergeCell ref="G4:G5"/>
    <mergeCell ref="A66:G66"/>
    <mergeCell ref="A67:G6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2" t="s">
        <v>402</v>
      </c>
      <c r="B1" s="10"/>
      <c r="C1" s="10"/>
      <c r="D1" s="10"/>
      <c r="E1" s="10"/>
      <c r="F1" s="10"/>
      <c r="G1" s="12" t="s">
        <v>403</v>
      </c>
    </row>
    <row r="2" spans="1:7" x14ac:dyDescent="0.2">
      <c r="A2" s="13" t="s">
        <v>404</v>
      </c>
      <c r="B2" s="14"/>
      <c r="C2" s="14"/>
      <c r="D2" s="14"/>
      <c r="E2" s="14"/>
      <c r="F2" s="14"/>
      <c r="G2" s="14"/>
    </row>
    <row r="3" spans="1:7" x14ac:dyDescent="0.2">
      <c r="A3" s="14" t="s">
        <v>102</v>
      </c>
      <c r="B3" s="14"/>
      <c r="C3" s="14"/>
      <c r="D3" s="14"/>
      <c r="E3" s="14"/>
      <c r="F3" s="14"/>
      <c r="G3" s="14"/>
    </row>
    <row r="4" spans="1:7" ht="12.75" customHeight="1" x14ac:dyDescent="0.2">
      <c r="A4" s="76" t="s">
        <v>103</v>
      </c>
      <c r="B4" s="78" t="s">
        <v>104</v>
      </c>
      <c r="C4" s="25" t="s">
        <v>105</v>
      </c>
      <c r="D4" s="25"/>
      <c r="E4" s="25"/>
      <c r="F4" s="78" t="s">
        <v>106</v>
      </c>
      <c r="G4" s="80" t="s">
        <v>107</v>
      </c>
    </row>
    <row r="5" spans="1:7" ht="25.5" customHeight="1" x14ac:dyDescent="0.2">
      <c r="A5" s="77"/>
      <c r="B5" s="79"/>
      <c r="C5" s="26" t="s">
        <v>108</v>
      </c>
      <c r="D5" s="26" t="s">
        <v>109</v>
      </c>
      <c r="E5" s="26" t="s">
        <v>110</v>
      </c>
      <c r="F5" s="79"/>
      <c r="G5" s="81"/>
    </row>
    <row r="6" spans="1:7" x14ac:dyDescent="0.2">
      <c r="A6" s="11" t="s">
        <v>111</v>
      </c>
      <c r="B6" s="27">
        <v>58507</v>
      </c>
      <c r="C6" s="27">
        <v>28772</v>
      </c>
      <c r="D6" s="27">
        <v>31169</v>
      </c>
      <c r="E6" s="27">
        <v>59941</v>
      </c>
      <c r="F6" s="27">
        <v>0</v>
      </c>
      <c r="G6" s="28">
        <f>IF(AND(F65&lt;&gt;0,0&lt;&gt;0),IF(100*0/(F65-0)&lt;0.005,"*",100*0/(F65-0)),0)</f>
        <v>0</v>
      </c>
    </row>
    <row r="7" spans="1:7" x14ac:dyDescent="0.2">
      <c r="A7" s="11" t="s">
        <v>112</v>
      </c>
      <c r="B7" s="27">
        <v>52053</v>
      </c>
      <c r="C7" s="27">
        <v>25598</v>
      </c>
      <c r="D7" s="27">
        <v>27731</v>
      </c>
      <c r="E7" s="27">
        <v>53329</v>
      </c>
      <c r="F7" s="27">
        <v>0</v>
      </c>
      <c r="G7" s="28">
        <f>IF(AND(F65&lt;&gt;0,0&lt;&gt;0),IF(100*0/(F65-0)&lt;0.005,"*",100*0/(F65-0)),0)</f>
        <v>0</v>
      </c>
    </row>
    <row r="8" spans="1:7" x14ac:dyDescent="0.2">
      <c r="A8" s="11" t="s">
        <v>113</v>
      </c>
      <c r="B8" s="27">
        <v>176695</v>
      </c>
      <c r="C8" s="27">
        <v>86892</v>
      </c>
      <c r="D8" s="27">
        <v>94133</v>
      </c>
      <c r="E8" s="27">
        <v>181025</v>
      </c>
      <c r="F8" s="27">
        <v>0</v>
      </c>
      <c r="G8" s="28">
        <f>IF(AND(F65&lt;&gt;0,0&lt;&gt;0),IF(100*0/(F65-0)&lt;0.005,"*",100*0/(F65-0)),0)</f>
        <v>0</v>
      </c>
    </row>
    <row r="9" spans="1:7" x14ac:dyDescent="0.2">
      <c r="A9" s="11" t="s">
        <v>114</v>
      </c>
      <c r="B9" s="27">
        <v>65595</v>
      </c>
      <c r="C9" s="27">
        <v>32257</v>
      </c>
      <c r="D9" s="27">
        <v>34945</v>
      </c>
      <c r="E9" s="27">
        <v>67202</v>
      </c>
      <c r="F9" s="27">
        <v>0</v>
      </c>
      <c r="G9" s="28">
        <f>IF(AND(F65&lt;&gt;0,0&lt;&gt;0),IF(100*0/(F65-0)&lt;0.005,"*",100*0/(F65-0)),0)</f>
        <v>0</v>
      </c>
    </row>
    <row r="10" spans="1:7" x14ac:dyDescent="0.2">
      <c r="A10" s="11" t="s">
        <v>115</v>
      </c>
      <c r="B10" s="27">
        <v>2045654</v>
      </c>
      <c r="C10" s="27">
        <v>1005974</v>
      </c>
      <c r="D10" s="27">
        <v>1089805</v>
      </c>
      <c r="E10" s="27">
        <v>2095779</v>
      </c>
      <c r="F10" s="27">
        <v>0</v>
      </c>
      <c r="G10" s="28">
        <f>IF(AND(F65&lt;&gt;0,0&lt;&gt;0),IF(100*0/(F65-0)&lt;0.005,"*",100*0/(F65-0)),0)</f>
        <v>0</v>
      </c>
    </row>
    <row r="11" spans="1:7" x14ac:dyDescent="0.2">
      <c r="A11" s="11" t="s">
        <v>116</v>
      </c>
      <c r="B11" s="27">
        <v>163873</v>
      </c>
      <c r="C11" s="27">
        <v>80586</v>
      </c>
      <c r="D11" s="27">
        <v>87302</v>
      </c>
      <c r="E11" s="27">
        <v>167888</v>
      </c>
      <c r="F11" s="27">
        <v>0</v>
      </c>
      <c r="G11" s="28">
        <f>IF(AND(F65&lt;&gt;0,0&lt;&gt;0),IF(100*0/(F65-0)&lt;0.005,"*",100*0/(F65-0)),0)</f>
        <v>0</v>
      </c>
    </row>
    <row r="12" spans="1:7" x14ac:dyDescent="0.2">
      <c r="A12" s="11" t="s">
        <v>117</v>
      </c>
      <c r="B12" s="27">
        <v>43459</v>
      </c>
      <c r="C12" s="27">
        <v>21371</v>
      </c>
      <c r="D12" s="27">
        <v>23152</v>
      </c>
      <c r="E12" s="27">
        <v>44523</v>
      </c>
      <c r="F12" s="27">
        <v>0</v>
      </c>
      <c r="G12" s="28">
        <f>IF(AND(F65&lt;&gt;0,0&lt;&gt;0),IF(100*0/(F65-0)&lt;0.005,"*",100*0/(F65-0)),0)</f>
        <v>0</v>
      </c>
    </row>
    <row r="13" spans="1:7" x14ac:dyDescent="0.2">
      <c r="A13" s="11" t="s">
        <v>118</v>
      </c>
      <c r="B13" s="27">
        <v>41840</v>
      </c>
      <c r="C13" s="27">
        <v>20575</v>
      </c>
      <c r="D13" s="27">
        <v>22290</v>
      </c>
      <c r="E13" s="27">
        <v>42865</v>
      </c>
      <c r="F13" s="27">
        <v>0</v>
      </c>
      <c r="G13" s="28">
        <f>IF(AND(F65&lt;&gt;0,0&lt;&gt;0),IF(100*0/(F65-0)&lt;0.005,"*",100*0/(F65-0)),0)</f>
        <v>0</v>
      </c>
    </row>
    <row r="14" spans="1:7" x14ac:dyDescent="0.2">
      <c r="A14" s="11" t="s">
        <v>119</v>
      </c>
      <c r="B14" s="27">
        <v>368150</v>
      </c>
      <c r="C14" s="27">
        <v>181042</v>
      </c>
      <c r="D14" s="27">
        <v>196129</v>
      </c>
      <c r="E14" s="27">
        <v>377171</v>
      </c>
      <c r="F14" s="27">
        <v>0</v>
      </c>
      <c r="G14" s="28">
        <f>IF(AND(F65&lt;&gt;0,0&lt;&gt;0),IF(100*0/(F65-0)&lt;0.005,"*",100*0/(F65-0)),0)</f>
        <v>0</v>
      </c>
    </row>
    <row r="15" spans="1:7" x14ac:dyDescent="0.2">
      <c r="A15" s="11" t="s">
        <v>120</v>
      </c>
      <c r="B15" s="27">
        <v>487776</v>
      </c>
      <c r="C15" s="27">
        <v>239869</v>
      </c>
      <c r="D15" s="27">
        <v>259858</v>
      </c>
      <c r="E15" s="27">
        <v>499727</v>
      </c>
      <c r="F15" s="27">
        <v>0</v>
      </c>
      <c r="G15" s="28">
        <f>IF(AND(F65&lt;&gt;0,0&lt;&gt;0),IF(100*0/(F65-0)&lt;0.005,"*",100*0/(F65-0)),0)</f>
        <v>0</v>
      </c>
    </row>
    <row r="16" spans="1:7" x14ac:dyDescent="0.2">
      <c r="A16" s="11" t="s">
        <v>121</v>
      </c>
      <c r="B16" s="27">
        <v>226869</v>
      </c>
      <c r="C16" s="27">
        <v>111565</v>
      </c>
      <c r="D16" s="27">
        <v>120862</v>
      </c>
      <c r="E16" s="27">
        <v>232427</v>
      </c>
      <c r="F16" s="27">
        <v>0</v>
      </c>
      <c r="G16" s="28">
        <f>IF(AND(F65&lt;&gt;0,0&lt;&gt;0),IF(100*0/(F65-0)&lt;0.005,"*",100*0/(F65-0)),0)</f>
        <v>0</v>
      </c>
    </row>
    <row r="17" spans="1:7" x14ac:dyDescent="0.2">
      <c r="A17" s="11" t="s">
        <v>122</v>
      </c>
      <c r="B17" s="27">
        <v>60169</v>
      </c>
      <c r="C17" s="27">
        <v>29589</v>
      </c>
      <c r="D17" s="27">
        <v>32055</v>
      </c>
      <c r="E17" s="27">
        <v>61644</v>
      </c>
      <c r="F17" s="27">
        <v>0</v>
      </c>
      <c r="G17" s="28">
        <f>IF(AND(F65&lt;&gt;0,0&lt;&gt;0),IF(100*0/(F65-0)&lt;0.005,"*",100*0/(F65-0)),0)</f>
        <v>0</v>
      </c>
    </row>
    <row r="18" spans="1:7" x14ac:dyDescent="0.2">
      <c r="A18" s="11" t="s">
        <v>123</v>
      </c>
      <c r="B18" s="27">
        <v>21414</v>
      </c>
      <c r="C18" s="27">
        <v>10531</v>
      </c>
      <c r="D18" s="27">
        <v>11408</v>
      </c>
      <c r="E18" s="27">
        <v>21939</v>
      </c>
      <c r="F18" s="27">
        <v>0</v>
      </c>
      <c r="G18" s="28">
        <f>IF(AND(F65&lt;&gt;0,0&lt;&gt;0),IF(100*0/(F65-0)&lt;0.005,"*",100*0/(F65-0)),0)</f>
        <v>0</v>
      </c>
    </row>
    <row r="19" spans="1:7" x14ac:dyDescent="0.2">
      <c r="A19" s="11" t="s">
        <v>124</v>
      </c>
      <c r="B19" s="27">
        <v>692398</v>
      </c>
      <c r="C19" s="27">
        <v>340495</v>
      </c>
      <c r="D19" s="27">
        <v>368869</v>
      </c>
      <c r="E19" s="27">
        <v>709364</v>
      </c>
      <c r="F19" s="27">
        <v>0</v>
      </c>
      <c r="G19" s="28">
        <f>IF(AND(F65&lt;&gt;0,0&lt;&gt;0),IF(100*0/(F65-0)&lt;0.005,"*",100*0/(F65-0)),0)</f>
        <v>0</v>
      </c>
    </row>
    <row r="20" spans="1:7" x14ac:dyDescent="0.2">
      <c r="A20" s="11" t="s">
        <v>125</v>
      </c>
      <c r="B20" s="27">
        <v>110089</v>
      </c>
      <c r="C20" s="27">
        <v>54138</v>
      </c>
      <c r="D20" s="27">
        <v>58649</v>
      </c>
      <c r="E20" s="27">
        <v>112787</v>
      </c>
      <c r="F20" s="27">
        <v>0</v>
      </c>
      <c r="G20" s="28">
        <f>IF(AND(F65&lt;&gt;0,0&lt;&gt;0),IF(100*0/(F65-0)&lt;0.005,"*",100*0/(F65-0)),0)</f>
        <v>0</v>
      </c>
    </row>
    <row r="21" spans="1:7" x14ac:dyDescent="0.2">
      <c r="A21" s="11" t="s">
        <v>126</v>
      </c>
      <c r="B21" s="27">
        <v>61819</v>
      </c>
      <c r="C21" s="27">
        <v>30400</v>
      </c>
      <c r="D21" s="27">
        <v>32934</v>
      </c>
      <c r="E21" s="27">
        <v>63334</v>
      </c>
      <c r="F21" s="27">
        <v>0</v>
      </c>
      <c r="G21" s="28">
        <f>IF(AND(F65&lt;&gt;0,0&lt;&gt;0),IF(100*0/(F65-0)&lt;0.005,"*",100*0/(F65-0)),0)</f>
        <v>0</v>
      </c>
    </row>
    <row r="22" spans="1:7" x14ac:dyDescent="0.2">
      <c r="A22" s="11" t="s">
        <v>127</v>
      </c>
      <c r="B22" s="27">
        <v>33095</v>
      </c>
      <c r="C22" s="27">
        <v>16275</v>
      </c>
      <c r="D22" s="27">
        <v>17631</v>
      </c>
      <c r="E22" s="27">
        <v>33906</v>
      </c>
      <c r="F22" s="27">
        <v>0</v>
      </c>
      <c r="G22" s="28">
        <f>IF(AND(F65&lt;&gt;0,0&lt;&gt;0),IF(100*0/(F65-0)&lt;0.005,"*",100*0/(F65-0)),0)</f>
        <v>0</v>
      </c>
    </row>
    <row r="23" spans="1:7" x14ac:dyDescent="0.2">
      <c r="A23" s="11" t="s">
        <v>128</v>
      </c>
      <c r="B23" s="27">
        <v>64907</v>
      </c>
      <c r="C23" s="27">
        <v>31919</v>
      </c>
      <c r="D23" s="27">
        <v>34579</v>
      </c>
      <c r="E23" s="27">
        <v>66498</v>
      </c>
      <c r="F23" s="27">
        <v>0</v>
      </c>
      <c r="G23" s="28">
        <f>IF(AND(F65&lt;&gt;0,0&lt;&gt;0),IF(100*0/(F65-0)&lt;0.005,"*",100*0/(F65-0)),0)</f>
        <v>0</v>
      </c>
    </row>
    <row r="24" spans="1:7" x14ac:dyDescent="0.2">
      <c r="A24" s="11" t="s">
        <v>129</v>
      </c>
      <c r="B24" s="27">
        <v>81104</v>
      </c>
      <c r="C24" s="27">
        <v>39884</v>
      </c>
      <c r="D24" s="27">
        <v>43208</v>
      </c>
      <c r="E24" s="27">
        <v>83092</v>
      </c>
      <c r="F24" s="27">
        <v>0</v>
      </c>
      <c r="G24" s="28">
        <f>IF(AND(F65&lt;&gt;0,0&lt;&gt;0),IF(100*0/(F65-0)&lt;0.005,"*",100*0/(F65-0)),0)</f>
        <v>0</v>
      </c>
    </row>
    <row r="25" spans="1:7" x14ac:dyDescent="0.2">
      <c r="A25" s="11" t="s">
        <v>130</v>
      </c>
      <c r="B25" s="27">
        <v>54127</v>
      </c>
      <c r="C25" s="27">
        <v>26617</v>
      </c>
      <c r="D25" s="27">
        <v>28836</v>
      </c>
      <c r="E25" s="27">
        <v>55453</v>
      </c>
      <c r="F25" s="27">
        <v>0</v>
      </c>
      <c r="G25" s="28">
        <f>IF(AND(F65&lt;&gt;0,0&lt;&gt;0),IF(100*0/(F65-0)&lt;0.005,"*",100*0/(F65-0)),0)</f>
        <v>0</v>
      </c>
    </row>
    <row r="26" spans="1:7" x14ac:dyDescent="0.2">
      <c r="A26" s="11" t="s">
        <v>131</v>
      </c>
      <c r="B26" s="27">
        <v>325335</v>
      </c>
      <c r="C26" s="27">
        <v>159987</v>
      </c>
      <c r="D26" s="27">
        <v>173319</v>
      </c>
      <c r="E26" s="27">
        <v>333306</v>
      </c>
      <c r="F26" s="27">
        <v>0</v>
      </c>
      <c r="G26" s="28">
        <f>IF(AND(F65&lt;&gt;0,0&lt;&gt;0),IF(100*0/(F65-0)&lt;0.005,"*",100*0/(F65-0)),0)</f>
        <v>0</v>
      </c>
    </row>
    <row r="27" spans="1:7" x14ac:dyDescent="0.2">
      <c r="A27" s="11" t="s">
        <v>132</v>
      </c>
      <c r="B27" s="27">
        <v>638835</v>
      </c>
      <c r="C27" s="27">
        <v>314154</v>
      </c>
      <c r="D27" s="27">
        <v>340334</v>
      </c>
      <c r="E27" s="27">
        <v>654488</v>
      </c>
      <c r="F27" s="27">
        <v>0</v>
      </c>
      <c r="G27" s="28">
        <f>IF(AND(F65&lt;&gt;0,0&lt;&gt;0),IF(100*0/(F65-0)&lt;0.005,"*",100*0/(F65-0)),0)</f>
        <v>0</v>
      </c>
    </row>
    <row r="28" spans="1:7" x14ac:dyDescent="0.2">
      <c r="A28" s="11" t="s">
        <v>133</v>
      </c>
      <c r="B28" s="27">
        <v>172734</v>
      </c>
      <c r="C28" s="27">
        <v>84944</v>
      </c>
      <c r="D28" s="27">
        <v>92023</v>
      </c>
      <c r="E28" s="27">
        <v>176967</v>
      </c>
      <c r="F28" s="27">
        <v>0</v>
      </c>
      <c r="G28" s="28">
        <f>IF(AND(F65&lt;&gt;0,0&lt;&gt;0),IF(100*0/(F65-0)&lt;0.005,"*",100*0/(F65-0)),0)</f>
        <v>0</v>
      </c>
    </row>
    <row r="29" spans="1:7" x14ac:dyDescent="0.2">
      <c r="A29" s="11" t="s">
        <v>134</v>
      </c>
      <c r="B29" s="27">
        <v>183282</v>
      </c>
      <c r="C29" s="27">
        <v>90131</v>
      </c>
      <c r="D29" s="27">
        <v>97642</v>
      </c>
      <c r="E29" s="27">
        <v>187773</v>
      </c>
      <c r="F29" s="27">
        <v>0</v>
      </c>
      <c r="G29" s="28">
        <f>IF(AND(F65&lt;&gt;0,0&lt;&gt;0),IF(100*0/(F65-0)&lt;0.005,"*",100*0/(F65-0)),0)</f>
        <v>0</v>
      </c>
    </row>
    <row r="30" spans="1:7" x14ac:dyDescent="0.2">
      <c r="A30" s="11" t="s">
        <v>135</v>
      </c>
      <c r="B30" s="27">
        <v>37590</v>
      </c>
      <c r="C30" s="27">
        <v>18485</v>
      </c>
      <c r="D30" s="27">
        <v>20026</v>
      </c>
      <c r="E30" s="27">
        <v>38511</v>
      </c>
      <c r="F30" s="27">
        <v>0</v>
      </c>
      <c r="G30" s="28">
        <f>IF(AND(F65&lt;&gt;0,0&lt;&gt;0),IF(100*0/(F65-0)&lt;0.005,"*",100*0/(F65-0)),0)</f>
        <v>0</v>
      </c>
    </row>
    <row r="31" spans="1:7" x14ac:dyDescent="0.2">
      <c r="A31" s="11" t="s">
        <v>136</v>
      </c>
      <c r="B31" s="27">
        <v>135307</v>
      </c>
      <c r="C31" s="27">
        <v>66539</v>
      </c>
      <c r="D31" s="27">
        <v>72084</v>
      </c>
      <c r="E31" s="27">
        <v>138623</v>
      </c>
      <c r="F31" s="27">
        <v>0</v>
      </c>
      <c r="G31" s="28">
        <f>IF(AND(F65&lt;&gt;0,0&lt;&gt;0),IF(100*0/(F65-0)&lt;0.005,"*",100*0/(F65-0)),0)</f>
        <v>0</v>
      </c>
    </row>
    <row r="32" spans="1:7" x14ac:dyDescent="0.2">
      <c r="A32" s="11" t="s">
        <v>137</v>
      </c>
      <c r="B32" s="27">
        <v>16280</v>
      </c>
      <c r="C32" s="27">
        <v>8006</v>
      </c>
      <c r="D32" s="27">
        <v>8673</v>
      </c>
      <c r="E32" s="27">
        <v>16679</v>
      </c>
      <c r="F32" s="27">
        <v>0</v>
      </c>
      <c r="G32" s="28">
        <f>IF(AND(F65&lt;&gt;0,0&lt;&gt;0),IF(100*0/(F65-0)&lt;0.005,"*",100*0/(F65-0)),0)</f>
        <v>0</v>
      </c>
    </row>
    <row r="33" spans="1:7" x14ac:dyDescent="0.2">
      <c r="A33" s="11" t="s">
        <v>138</v>
      </c>
      <c r="B33" s="27">
        <v>45140</v>
      </c>
      <c r="C33" s="27">
        <v>22198</v>
      </c>
      <c r="D33" s="27">
        <v>24048</v>
      </c>
      <c r="E33" s="27">
        <v>46246</v>
      </c>
      <c r="F33" s="27">
        <v>0</v>
      </c>
      <c r="G33" s="28">
        <f>IF(AND(F65&lt;&gt;0,0&lt;&gt;0),IF(100*0/(F65-0)&lt;0.005,"*",100*0/(F65-0)),0)</f>
        <v>0</v>
      </c>
    </row>
    <row r="34" spans="1:7" x14ac:dyDescent="0.2">
      <c r="A34" s="11" t="s">
        <v>139</v>
      </c>
      <c r="B34" s="27">
        <v>132511</v>
      </c>
      <c r="C34" s="27">
        <v>65164</v>
      </c>
      <c r="D34" s="27">
        <v>70594</v>
      </c>
      <c r="E34" s="27">
        <v>135758</v>
      </c>
      <c r="F34" s="27">
        <v>0</v>
      </c>
      <c r="G34" s="28">
        <f>IF(AND(F65&lt;&gt;0,0&lt;&gt;0),IF(100*0/(F65-0)&lt;0.005,"*",100*0/(F65-0)),0)</f>
        <v>0</v>
      </c>
    </row>
    <row r="35" spans="1:7" x14ac:dyDescent="0.2">
      <c r="A35" s="11" t="s">
        <v>140</v>
      </c>
      <c r="B35" s="27">
        <v>25761</v>
      </c>
      <c r="C35" s="27">
        <v>12668</v>
      </c>
      <c r="D35" s="27">
        <v>13724</v>
      </c>
      <c r="E35" s="27">
        <v>26392</v>
      </c>
      <c r="F35" s="27">
        <v>0</v>
      </c>
      <c r="G35" s="28">
        <f>IF(AND(F65&lt;&gt;0,0&lt;&gt;0),IF(100*0/(F65-0)&lt;0.005,"*",100*0/(F65-0)),0)</f>
        <v>0</v>
      </c>
    </row>
    <row r="36" spans="1:7" x14ac:dyDescent="0.2">
      <c r="A36" s="11" t="s">
        <v>141</v>
      </c>
      <c r="B36" s="27">
        <v>645513</v>
      </c>
      <c r="C36" s="27">
        <v>317439</v>
      </c>
      <c r="D36" s="27">
        <v>343892</v>
      </c>
      <c r="E36" s="27">
        <v>661331</v>
      </c>
      <c r="F36" s="27">
        <v>0</v>
      </c>
      <c r="G36" s="28">
        <f>IF(AND(F65&lt;&gt;0,0&lt;&gt;0),IF(100*0/(F65-0)&lt;0.005,"*",100*0/(F65-0)),0)</f>
        <v>0</v>
      </c>
    </row>
    <row r="37" spans="1:7" x14ac:dyDescent="0.2">
      <c r="A37" s="11" t="s">
        <v>142</v>
      </c>
      <c r="B37" s="27">
        <v>81876</v>
      </c>
      <c r="C37" s="27">
        <v>40263</v>
      </c>
      <c r="D37" s="27">
        <v>43619</v>
      </c>
      <c r="E37" s="27">
        <v>83882</v>
      </c>
      <c r="F37" s="27">
        <v>0</v>
      </c>
      <c r="G37" s="28">
        <f>IF(AND(F65&lt;&gt;0,0&lt;&gt;0),IF(100*0/(F65-0)&lt;0.005,"*",100*0/(F65-0)),0)</f>
        <v>0</v>
      </c>
    </row>
    <row r="38" spans="1:7" x14ac:dyDescent="0.2">
      <c r="A38" s="11" t="s">
        <v>143</v>
      </c>
      <c r="B38" s="27">
        <v>1664671</v>
      </c>
      <c r="C38" s="27">
        <v>818621</v>
      </c>
      <c r="D38" s="27">
        <v>886840</v>
      </c>
      <c r="E38" s="27">
        <v>1705461</v>
      </c>
      <c r="F38" s="27">
        <v>0</v>
      </c>
      <c r="G38" s="28">
        <f>IF(AND(F65&lt;&gt;0,0&lt;&gt;0),IF(100*0/(F65-0)&lt;0.005,"*",100*0/(F65-0)),0)</f>
        <v>0</v>
      </c>
    </row>
    <row r="39" spans="1:7" x14ac:dyDescent="0.2">
      <c r="A39" s="11" t="s">
        <v>144</v>
      </c>
      <c r="B39" s="27">
        <v>177441</v>
      </c>
      <c r="C39" s="27">
        <v>87259</v>
      </c>
      <c r="D39" s="27">
        <v>94530</v>
      </c>
      <c r="E39" s="27">
        <v>181789</v>
      </c>
      <c r="F39" s="27">
        <v>0</v>
      </c>
      <c r="G39" s="28">
        <f>IF(AND(F65&lt;&gt;0,0&lt;&gt;0),IF(100*0/(F65-0)&lt;0.005,"*",100*0/(F65-0)),0)</f>
        <v>0</v>
      </c>
    </row>
    <row r="40" spans="1:7" x14ac:dyDescent="0.2">
      <c r="A40" s="11" t="s">
        <v>145</v>
      </c>
      <c r="B40" s="27">
        <v>23331</v>
      </c>
      <c r="C40" s="27">
        <v>11473</v>
      </c>
      <c r="D40" s="27">
        <v>12429</v>
      </c>
      <c r="E40" s="27">
        <v>23902</v>
      </c>
      <c r="F40" s="27">
        <v>0</v>
      </c>
      <c r="G40" s="28">
        <f>IF(AND(F65&lt;&gt;0,0&lt;&gt;0),IF(100*0/(F65-0)&lt;0.005,"*",100*0/(F65-0)),0)</f>
        <v>0</v>
      </c>
    </row>
    <row r="41" spans="1:7" x14ac:dyDescent="0.2">
      <c r="A41" s="11" t="s">
        <v>146</v>
      </c>
      <c r="B41" s="27">
        <v>272501</v>
      </c>
      <c r="C41" s="27">
        <v>134005</v>
      </c>
      <c r="D41" s="27">
        <v>145172</v>
      </c>
      <c r="E41" s="27">
        <v>279177</v>
      </c>
      <c r="F41" s="27">
        <v>0</v>
      </c>
      <c r="G41" s="28">
        <f>IF(AND(F65&lt;&gt;0,0&lt;&gt;0),IF(100*0/(F65-0)&lt;0.005,"*",100*0/(F65-0)),0)</f>
        <v>0</v>
      </c>
    </row>
    <row r="42" spans="1:7" x14ac:dyDescent="0.2">
      <c r="A42" s="11" t="s">
        <v>147</v>
      </c>
      <c r="B42" s="27">
        <v>57812</v>
      </c>
      <c r="C42" s="27">
        <v>28430</v>
      </c>
      <c r="D42" s="27">
        <v>30799</v>
      </c>
      <c r="E42" s="27">
        <v>59229</v>
      </c>
      <c r="F42" s="27">
        <v>0</v>
      </c>
      <c r="G42" s="28">
        <f>IF(AND(F65&lt;&gt;0,0&lt;&gt;0),IF(100*0/(F65-0)&lt;0.005,"*",100*0/(F65-0)),0)</f>
        <v>0</v>
      </c>
    </row>
    <row r="43" spans="1:7" x14ac:dyDescent="0.2">
      <c r="A43" s="11" t="s">
        <v>148</v>
      </c>
      <c r="B43" s="27">
        <v>213262</v>
      </c>
      <c r="C43" s="27">
        <v>104874</v>
      </c>
      <c r="D43" s="27">
        <v>113613</v>
      </c>
      <c r="E43" s="27">
        <v>218487</v>
      </c>
      <c r="F43" s="27">
        <v>0</v>
      </c>
      <c r="G43" s="28">
        <f>IF(AND(F65&lt;&gt;0,0&lt;&gt;0),IF(100*0/(F65-0)&lt;0.005,"*",100*0/(F65-0)),0)</f>
        <v>0</v>
      </c>
    </row>
    <row r="44" spans="1:7" x14ac:dyDescent="0.2">
      <c r="A44" s="11" t="s">
        <v>149</v>
      </c>
      <c r="B44" s="27">
        <v>447810</v>
      </c>
      <c r="C44" s="27">
        <v>220216</v>
      </c>
      <c r="D44" s="27">
        <v>238567</v>
      </c>
      <c r="E44" s="27">
        <v>458783</v>
      </c>
      <c r="F44" s="27">
        <v>0</v>
      </c>
      <c r="G44" s="28">
        <f>IF(AND(F65&lt;&gt;0,0&lt;&gt;0),IF(100*0/(F65-0)&lt;0.005,"*",100*0/(F65-0)),0)</f>
        <v>0</v>
      </c>
    </row>
    <row r="45" spans="1:7" x14ac:dyDescent="0.2">
      <c r="A45" s="11" t="s">
        <v>150</v>
      </c>
      <c r="B45" s="27">
        <v>61109</v>
      </c>
      <c r="C45" s="27">
        <v>30051</v>
      </c>
      <c r="D45" s="27">
        <v>32555</v>
      </c>
      <c r="E45" s="27">
        <v>62606</v>
      </c>
      <c r="F45" s="27">
        <v>0</v>
      </c>
      <c r="G45" s="28">
        <f>IF(AND(F65&lt;&gt;0,0&lt;&gt;0),IF(100*0/(F65-0)&lt;0.005,"*",100*0/(F65-0)),0)</f>
        <v>0</v>
      </c>
    </row>
    <row r="46" spans="1:7" x14ac:dyDescent="0.2">
      <c r="A46" s="11" t="s">
        <v>151</v>
      </c>
      <c r="B46" s="27">
        <v>65031</v>
      </c>
      <c r="C46" s="27">
        <v>31980</v>
      </c>
      <c r="D46" s="27">
        <v>34645</v>
      </c>
      <c r="E46" s="27">
        <v>66625</v>
      </c>
      <c r="F46" s="27">
        <v>0</v>
      </c>
      <c r="G46" s="28">
        <f>IF(AND(F65&lt;&gt;0,0&lt;&gt;0),IF(100*0/(F65-0)&lt;0.005,"*",100*0/(F65-0)),0)</f>
        <v>0</v>
      </c>
    </row>
    <row r="47" spans="1:7" x14ac:dyDescent="0.2">
      <c r="A47" s="11" t="s">
        <v>152</v>
      </c>
      <c r="B47" s="27">
        <v>15753</v>
      </c>
      <c r="C47" s="27">
        <v>7747</v>
      </c>
      <c r="D47" s="27">
        <v>8392</v>
      </c>
      <c r="E47" s="27">
        <v>16139</v>
      </c>
      <c r="F47" s="27">
        <v>0</v>
      </c>
      <c r="G47" s="28">
        <f>IF(AND(F65&lt;&gt;0,0&lt;&gt;0),IF(100*0/(F65-0)&lt;0.005,"*",100*0/(F65-0)),0)</f>
        <v>0</v>
      </c>
    </row>
    <row r="48" spans="1:7" x14ac:dyDescent="0.2">
      <c r="A48" s="11" t="s">
        <v>153</v>
      </c>
      <c r="B48" s="27">
        <v>95443</v>
      </c>
      <c r="C48" s="27">
        <v>46935</v>
      </c>
      <c r="D48" s="27">
        <v>50847</v>
      </c>
      <c r="E48" s="27">
        <v>97782</v>
      </c>
      <c r="F48" s="27">
        <v>0</v>
      </c>
      <c r="G48" s="28">
        <f>IF(AND(F65&lt;&gt;0,0&lt;&gt;0),IF(100*0/(F65-0)&lt;0.005,"*",100*0/(F65-0)),0)</f>
        <v>0</v>
      </c>
    </row>
    <row r="49" spans="1:7" x14ac:dyDescent="0.2">
      <c r="A49" s="11" t="s">
        <v>154</v>
      </c>
      <c r="B49" s="27">
        <v>406303</v>
      </c>
      <c r="C49" s="27">
        <v>199804</v>
      </c>
      <c r="D49" s="27">
        <v>216454</v>
      </c>
      <c r="E49" s="27">
        <v>416258</v>
      </c>
      <c r="F49" s="27">
        <v>0</v>
      </c>
      <c r="G49" s="28">
        <f>IF(AND(F65&lt;&gt;0,0&lt;&gt;0),IF(100*0/(F65-0)&lt;0.005,"*",100*0/(F65-0)),0)</f>
        <v>0</v>
      </c>
    </row>
    <row r="50" spans="1:7" x14ac:dyDescent="0.2">
      <c r="A50" s="11" t="s">
        <v>155</v>
      </c>
      <c r="B50" s="27">
        <v>10974</v>
      </c>
      <c r="C50" s="27">
        <v>5397</v>
      </c>
      <c r="D50" s="27">
        <v>5846</v>
      </c>
      <c r="E50" s="27">
        <v>11243</v>
      </c>
      <c r="F50" s="27">
        <v>0</v>
      </c>
      <c r="G50" s="28">
        <f>IF(AND(F65&lt;&gt;0,0&lt;&gt;0),IF(100*0/(F65-0)&lt;0.005,"*",100*0/(F65-0)),0)</f>
        <v>0</v>
      </c>
    </row>
    <row r="51" spans="1:7" x14ac:dyDescent="0.2">
      <c r="A51" s="11" t="s">
        <v>156</v>
      </c>
      <c r="B51" s="27">
        <v>21321</v>
      </c>
      <c r="C51" s="27">
        <v>10485</v>
      </c>
      <c r="D51" s="27">
        <v>11358</v>
      </c>
      <c r="E51" s="27">
        <v>21843</v>
      </c>
      <c r="F51" s="27">
        <v>0</v>
      </c>
      <c r="G51" s="28">
        <f>IF(AND(F65&lt;&gt;0,0&lt;&gt;0),IF(100*0/(F65-0)&lt;0.005,"*",100*0/(F65-0)),0)</f>
        <v>0</v>
      </c>
    </row>
    <row r="52" spans="1:7" x14ac:dyDescent="0.2">
      <c r="A52" s="11" t="s">
        <v>157</v>
      </c>
      <c r="B52" s="27">
        <v>116480</v>
      </c>
      <c r="C52" s="27">
        <v>57281</v>
      </c>
      <c r="D52" s="27">
        <v>62054</v>
      </c>
      <c r="E52" s="27">
        <v>119335</v>
      </c>
      <c r="F52" s="27">
        <v>0</v>
      </c>
      <c r="G52" s="28">
        <f>IF(AND(F65&lt;&gt;0,0&lt;&gt;0),IF(100*0/(F65-0)&lt;0.005,"*",100*0/(F65-0)),0)</f>
        <v>0</v>
      </c>
    </row>
    <row r="53" spans="1:7" x14ac:dyDescent="0.2">
      <c r="A53" s="11" t="s">
        <v>158</v>
      </c>
      <c r="B53" s="27">
        <v>351369</v>
      </c>
      <c r="C53" s="27">
        <v>172790</v>
      </c>
      <c r="D53" s="27">
        <v>187189</v>
      </c>
      <c r="E53" s="27">
        <v>359979</v>
      </c>
      <c r="F53" s="27">
        <v>0</v>
      </c>
      <c r="G53" s="28">
        <f>IF(AND(F65&lt;&gt;0,0&lt;&gt;0),IF(100*0/(F65-0)&lt;0.005,"*",100*0/(F65-0)),0)</f>
        <v>0</v>
      </c>
    </row>
    <row r="54" spans="1:7" x14ac:dyDescent="0.2">
      <c r="A54" s="11" t="s">
        <v>159</v>
      </c>
      <c r="B54" s="27">
        <v>27328</v>
      </c>
      <c r="C54" s="27">
        <v>13439</v>
      </c>
      <c r="D54" s="27">
        <v>14559</v>
      </c>
      <c r="E54" s="27">
        <v>27998</v>
      </c>
      <c r="F54" s="27">
        <v>0</v>
      </c>
      <c r="G54" s="28">
        <f>IF(AND(F65&lt;&gt;0,0&lt;&gt;0),IF(100*0/(F65-0)&lt;0.005,"*",100*0/(F65-0)),0)</f>
        <v>0</v>
      </c>
    </row>
    <row r="55" spans="1:7" x14ac:dyDescent="0.2">
      <c r="A55" s="11" t="s">
        <v>160</v>
      </c>
      <c r="B55" s="27">
        <v>117945</v>
      </c>
      <c r="C55" s="27">
        <v>58001</v>
      </c>
      <c r="D55" s="27">
        <v>62834</v>
      </c>
      <c r="E55" s="27">
        <v>120835</v>
      </c>
      <c r="F55" s="27">
        <v>0</v>
      </c>
      <c r="G55" s="28">
        <f>IF(AND(F65&lt;&gt;0,0&lt;&gt;0),IF(100*0/(F65-0)&lt;0.005,"*",100*0/(F65-0)),0)</f>
        <v>0</v>
      </c>
    </row>
    <row r="56" spans="1:7" x14ac:dyDescent="0.2">
      <c r="A56" s="11" t="s">
        <v>161</v>
      </c>
      <c r="B56" s="27">
        <v>14940</v>
      </c>
      <c r="C56" s="27">
        <v>7347</v>
      </c>
      <c r="D56" s="27">
        <v>7959</v>
      </c>
      <c r="E56" s="27">
        <v>15306</v>
      </c>
      <c r="F56" s="27">
        <v>0</v>
      </c>
      <c r="G56" s="28">
        <f>IF(AND(F65&lt;&gt;0,0&lt;&gt;0),IF(100*0/(F65-0)&lt;0.005,"*",100*0/(F65-0)),0)</f>
        <v>0</v>
      </c>
    </row>
    <row r="57" spans="1:7" x14ac:dyDescent="0.2">
      <c r="A57" s="11" t="s">
        <v>162</v>
      </c>
      <c r="B57" s="27">
        <v>0</v>
      </c>
      <c r="C57" s="27">
        <v>0</v>
      </c>
      <c r="D57" s="27">
        <v>0</v>
      </c>
      <c r="E57" s="27">
        <v>0</v>
      </c>
      <c r="F57" s="27">
        <v>0</v>
      </c>
      <c r="G57" s="28">
        <f>IF(AND(F65&lt;&gt;0,0&lt;&gt;0),IF(100*0/(F65-0)&lt;0.005,"*",100*0/(F65-0)),0)</f>
        <v>0</v>
      </c>
    </row>
    <row r="58" spans="1:7" x14ac:dyDescent="0.2">
      <c r="A58" s="11" t="s">
        <v>163</v>
      </c>
      <c r="B58" s="27">
        <v>3920</v>
      </c>
      <c r="C58" s="27">
        <v>1928</v>
      </c>
      <c r="D58" s="27">
        <v>2088</v>
      </c>
      <c r="E58" s="27">
        <v>4016</v>
      </c>
      <c r="F58" s="27">
        <v>0</v>
      </c>
      <c r="G58" s="28">
        <f>IF(AND(F65&lt;&gt;0,0&lt;&gt;0),IF(100*0/(F65-0)&lt;0.005,"*",100*0/(F65-0)),0)</f>
        <v>0</v>
      </c>
    </row>
    <row r="59" spans="1:7" x14ac:dyDescent="0.2">
      <c r="A59" s="11" t="s">
        <v>164</v>
      </c>
      <c r="B59" s="27">
        <v>7721</v>
      </c>
      <c r="C59" s="27">
        <v>3797</v>
      </c>
      <c r="D59" s="27">
        <v>4113</v>
      </c>
      <c r="E59" s="27">
        <v>7910</v>
      </c>
      <c r="F59" s="27">
        <v>0</v>
      </c>
      <c r="G59" s="28">
        <f>IF(AND(F65&lt;&gt;0,0&lt;&gt;0),IF(100*0/(F65-0)&lt;0.005,"*",100*0/(F65-0)),0)</f>
        <v>0</v>
      </c>
    </row>
    <row r="60" spans="1:7" x14ac:dyDescent="0.2">
      <c r="A60" s="11" t="s">
        <v>165</v>
      </c>
      <c r="B60" s="27">
        <v>47708</v>
      </c>
      <c r="C60" s="27">
        <v>23461</v>
      </c>
      <c r="D60" s="27">
        <v>25416</v>
      </c>
      <c r="E60" s="27">
        <v>48877</v>
      </c>
      <c r="F60" s="27">
        <v>0</v>
      </c>
      <c r="G60" s="28">
        <f>IF(AND(F65&lt;&gt;0,0&lt;&gt;0),IF(100*0/(F65-0)&lt;0.005,"*",100*0/(F65-0)),0)</f>
        <v>0</v>
      </c>
    </row>
    <row r="61" spans="1:7" x14ac:dyDescent="0.2">
      <c r="A61" s="11" t="s">
        <v>166</v>
      </c>
      <c r="B61" s="27">
        <v>0</v>
      </c>
      <c r="C61" s="27">
        <v>0</v>
      </c>
      <c r="D61" s="27">
        <v>0</v>
      </c>
      <c r="E61" s="27">
        <v>0</v>
      </c>
      <c r="F61" s="27">
        <v>0</v>
      </c>
      <c r="G61" s="28">
        <f>IF(AND(F65&lt;&gt;0,0&lt;&gt;0),IF(100*0/(F65-0)&lt;0.005,"*",100*0/(F65-0)),0)</f>
        <v>0</v>
      </c>
    </row>
    <row r="62" spans="1:7" x14ac:dyDescent="0.2">
      <c r="A62" s="11" t="s">
        <v>167</v>
      </c>
      <c r="B62" s="27">
        <v>9347</v>
      </c>
      <c r="C62" s="27">
        <v>4596</v>
      </c>
      <c r="D62" s="27">
        <v>4979</v>
      </c>
      <c r="E62" s="27">
        <v>9575</v>
      </c>
      <c r="F62" s="27">
        <v>0</v>
      </c>
      <c r="G62" s="28">
        <f>IF(AND(F65&lt;&gt;0,0&lt;&gt;0),IF(100*0/(F65-0)&lt;0.005,"*",100*0/(F65-0)),0)</f>
        <v>0</v>
      </c>
    </row>
    <row r="63" spans="1:7" x14ac:dyDescent="0.2">
      <c r="A63" s="11" t="s">
        <v>168</v>
      </c>
      <c r="B63" s="27">
        <v>0</v>
      </c>
      <c r="C63" s="27">
        <v>0</v>
      </c>
      <c r="D63" s="27">
        <v>0</v>
      </c>
      <c r="E63" s="27">
        <v>0</v>
      </c>
      <c r="F63" s="27">
        <v>0</v>
      </c>
      <c r="G63" s="28">
        <f>IF(AND(F65&lt;&gt;0,0&lt;&gt;0),IF(100*0/(F65-0)&lt;0.005,"*",100*0/(F65-0)),0)</f>
        <v>0</v>
      </c>
    </row>
    <row r="64" spans="1:7" ht="15" x14ac:dyDescent="0.2">
      <c r="A64" s="11" t="s">
        <v>169</v>
      </c>
      <c r="B64" s="29" t="s">
        <v>461</v>
      </c>
      <c r="C64" s="29" t="s">
        <v>462</v>
      </c>
      <c r="D64" s="29" t="s">
        <v>463</v>
      </c>
      <c r="E64" s="27">
        <v>80000</v>
      </c>
      <c r="F64" s="27">
        <v>0</v>
      </c>
      <c r="G64" s="28">
        <v>0</v>
      </c>
    </row>
    <row r="65" spans="1:7" ht="15" customHeight="1" x14ac:dyDescent="0.2">
      <c r="A65" s="30" t="s">
        <v>110</v>
      </c>
      <c r="B65" s="31">
        <f>58507+52053+176695+65595+2045654+163873+43459+41840+368150+487776+226869+60169+21414+692398+110089+61819+33095+64907+81104+54127+325335+638835+172734+183282+37590+135307+16280+45140+132511+25761+645513+81876+1664671+177441+23331+272501+57812+213262+447810+61109+65031+15753+95443+406303+10974+21321+116480+351369+27328+117945+14940+0+3920+7721+47708+0+9347+0+76528+0</f>
        <v>11655805</v>
      </c>
      <c r="C65" s="31">
        <f>28772+25598+86892+32257+1005974+80586+21371+20575+181042+239869+111565+29589+10531+340495+54138+30400+16275+31919+39884+26617+159987+314154+84944+90131+18485+66539+8006+22198+65164+12668+317439+40263+818621+87259+11473+134005+28430+104874+220216+30051+31980+7747+46935+199804+5397+10485+57281+172790+13439+58001+7347+0+1928+3797+23461+0+4596+0+38400+0</f>
        <v>5732644</v>
      </c>
      <c r="D65" s="31">
        <f>31169+27731+94133+34945+1089805+87302+23152+22290+196129+259858+120862+32055+11408+368869+58649+32934+17631+34579+43208+28836+173319+340334+92023+97642+20026+72084+8673+24048+70594+13724+343892+43619+886840+94530+12429+145172+30799+113613+238567+32555+34645+8392+50847+216454+5846+11358+62054+187189+14559+62834+7959+0+2088+4113+25416+0+4979+0+41600+0</f>
        <v>6210361</v>
      </c>
      <c r="E65" s="31">
        <f>SUM(C65:D65)</f>
        <v>11943005</v>
      </c>
      <c r="F65" s="31">
        <f>0+0+0+0+0+0+0+0+0+0+0+0+0+0+0+0+0+0+0+0+0+0+0+0+0+0+0+0+0+0+0+0+0+0+0+0+0+0+0+0+0+0+0+0+0+0+0+0+0+0+0+0+0+0+0+0+0+0+0+0</f>
        <v>0</v>
      </c>
      <c r="G65" s="34" t="s">
        <v>189</v>
      </c>
    </row>
    <row r="66" spans="1:7" x14ac:dyDescent="0.2">
      <c r="A66" s="82" t="s">
        <v>171</v>
      </c>
      <c r="B66" s="82"/>
      <c r="C66" s="82"/>
      <c r="D66" s="82"/>
      <c r="E66" s="82"/>
      <c r="F66" s="82"/>
      <c r="G66" s="82"/>
    </row>
    <row r="67" spans="1:7" ht="15" x14ac:dyDescent="0.2">
      <c r="A67" s="67" t="s">
        <v>464</v>
      </c>
      <c r="B67" s="67"/>
      <c r="C67" s="67"/>
      <c r="D67" s="67"/>
      <c r="E67" s="67"/>
      <c r="F67" s="67"/>
      <c r="G67" s="67"/>
    </row>
    <row r="68" spans="1:7" ht="15" x14ac:dyDescent="0.2">
      <c r="A68" s="67" t="s">
        <v>465</v>
      </c>
      <c r="B68" s="67"/>
      <c r="C68" s="67"/>
      <c r="D68" s="67"/>
      <c r="E68" s="67"/>
      <c r="F68" s="67"/>
      <c r="G68" s="67"/>
    </row>
    <row r="69" spans="1:7" ht="15" x14ac:dyDescent="0.2">
      <c r="A69" s="67" t="s">
        <v>466</v>
      </c>
      <c r="B69" s="67"/>
      <c r="C69" s="67"/>
      <c r="D69" s="67"/>
      <c r="E69" s="67"/>
      <c r="F69" s="67"/>
      <c r="G69" s="67"/>
    </row>
  </sheetData>
  <mergeCells count="8">
    <mergeCell ref="A67:G67"/>
    <mergeCell ref="A68:G68"/>
    <mergeCell ref="A69:G69"/>
    <mergeCell ref="A4:A5"/>
    <mergeCell ref="B4:B5"/>
    <mergeCell ref="F4:F5"/>
    <mergeCell ref="G4:G5"/>
    <mergeCell ref="A66:G6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75"/>
  <sheetViews>
    <sheetView workbookViewId="0"/>
  </sheetViews>
  <sheetFormatPr defaultRowHeight="12.75" x14ac:dyDescent="0.2"/>
  <cols>
    <col min="1" max="1" width="30.7109375" customWidth="1"/>
    <col min="2" max="7" width="11.7109375" customWidth="1"/>
  </cols>
  <sheetData>
    <row r="1" spans="1:7" ht="38.25" customHeight="1" x14ac:dyDescent="0.2">
      <c r="A1" s="12" t="s">
        <v>405</v>
      </c>
      <c r="B1" s="10"/>
      <c r="C1" s="10"/>
      <c r="D1" s="10"/>
      <c r="E1" s="10"/>
      <c r="F1" s="10"/>
      <c r="G1" s="12" t="s">
        <v>406</v>
      </c>
    </row>
    <row r="2" spans="1:7" x14ac:dyDescent="0.2">
      <c r="A2" s="13" t="s">
        <v>407</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17977</v>
      </c>
      <c r="C6" s="17">
        <v>538</v>
      </c>
      <c r="D6" s="17">
        <v>17411</v>
      </c>
      <c r="E6" s="17">
        <v>17949</v>
      </c>
      <c r="F6" s="17">
        <v>12157</v>
      </c>
      <c r="G6" s="18">
        <f>IF(AND(F69&lt;&gt;0,12157&lt;&gt;0),IF(100*12157/(F69-0)&lt;0.005,"*",100*12157/(F69-0)),0)</f>
        <v>1.0856616222144033</v>
      </c>
    </row>
    <row r="7" spans="1:7" x14ac:dyDescent="0.2">
      <c r="A7" s="11" t="s">
        <v>112</v>
      </c>
      <c r="B7" s="17">
        <v>9606</v>
      </c>
      <c r="C7" s="17">
        <v>288</v>
      </c>
      <c r="D7" s="17">
        <v>9319</v>
      </c>
      <c r="E7" s="17">
        <v>9607</v>
      </c>
      <c r="F7" s="17">
        <v>6507</v>
      </c>
      <c r="G7" s="18">
        <f>IF(AND(F69&lt;&gt;0,6507&lt;&gt;0),IF(100*6507/(F69-0)&lt;0.005,"*",100*6507/(F69-0)),0)</f>
        <v>0.58109732464827846</v>
      </c>
    </row>
    <row r="8" spans="1:7" x14ac:dyDescent="0.2">
      <c r="A8" s="11" t="s">
        <v>113</v>
      </c>
      <c r="B8" s="17">
        <v>16108</v>
      </c>
      <c r="C8" s="17">
        <v>325</v>
      </c>
      <c r="D8" s="17">
        <v>10517</v>
      </c>
      <c r="E8" s="17">
        <v>10842</v>
      </c>
      <c r="F8" s="17">
        <v>7343</v>
      </c>
      <c r="G8" s="18">
        <f>IF(AND(F69&lt;&gt;0,7343&lt;&gt;0),IF(100*7343/(F69-0)&lt;0.005,"*",100*7343/(F69-0)),0)</f>
        <v>0.65575498000496524</v>
      </c>
    </row>
    <row r="9" spans="1:7" x14ac:dyDescent="0.2">
      <c r="A9" s="11" t="s">
        <v>114</v>
      </c>
      <c r="B9" s="17">
        <v>28117</v>
      </c>
      <c r="C9" s="17">
        <v>315</v>
      </c>
      <c r="D9" s="17">
        <v>10185</v>
      </c>
      <c r="E9" s="17">
        <v>10500</v>
      </c>
      <c r="F9" s="17">
        <v>7112</v>
      </c>
      <c r="G9" s="18">
        <f>IF(AND(F69&lt;&gt;0,7112&lt;&gt;0),IF(100*7112/(F69-0)&lt;0.005,"*",100*7112/(F69-0)),0)</f>
        <v>0.63512589102482808</v>
      </c>
    </row>
    <row r="10" spans="1:7" x14ac:dyDescent="0.2">
      <c r="A10" s="11" t="s">
        <v>115</v>
      </c>
      <c r="B10" s="17">
        <v>117898</v>
      </c>
      <c r="C10" s="17">
        <v>3444</v>
      </c>
      <c r="D10" s="17">
        <v>111357</v>
      </c>
      <c r="E10" s="17">
        <v>114801</v>
      </c>
      <c r="F10" s="17">
        <v>77760</v>
      </c>
      <c r="G10" s="18">
        <f>IF(AND(F69&lt;&gt;0,77760&lt;&gt;0),IF(100*77760/(F69-0)&lt;0.005,"*",100*77760/(F69-0)),0)</f>
        <v>6.944233589157851</v>
      </c>
    </row>
    <row r="11" spans="1:7" x14ac:dyDescent="0.2">
      <c r="A11" s="11" t="s">
        <v>116</v>
      </c>
      <c r="B11" s="17">
        <v>12838</v>
      </c>
      <c r="C11" s="17">
        <v>385</v>
      </c>
      <c r="D11" s="17">
        <v>12455</v>
      </c>
      <c r="E11" s="17">
        <v>12840</v>
      </c>
      <c r="F11" s="17">
        <v>8697</v>
      </c>
      <c r="G11" s="18">
        <f>IF(AND(F69&lt;&gt;0,8697&lt;&gt;0),IF(100*8697/(F69-0)&lt;0.005,"*",100*8697/(F69-0)),0)</f>
        <v>0.77667180458983831</v>
      </c>
    </row>
    <row r="12" spans="1:7" x14ac:dyDescent="0.2">
      <c r="A12" s="11" t="s">
        <v>117</v>
      </c>
      <c r="B12" s="17">
        <v>19662</v>
      </c>
      <c r="C12" s="17">
        <v>590</v>
      </c>
      <c r="D12" s="17">
        <v>19074</v>
      </c>
      <c r="E12" s="17">
        <v>19664</v>
      </c>
      <c r="F12" s="17">
        <v>13320</v>
      </c>
      <c r="G12" s="18">
        <f>IF(AND(F69&lt;&gt;0,13320&lt;&gt;0),IF(100*13320/(F69-0)&lt;0.005,"*",100*13320/(F69-0)),0)</f>
        <v>1.1895214944390764</v>
      </c>
    </row>
    <row r="13" spans="1:7" x14ac:dyDescent="0.2">
      <c r="A13" s="11" t="s">
        <v>118</v>
      </c>
      <c r="B13" s="17">
        <v>7879</v>
      </c>
      <c r="C13" s="17">
        <v>236</v>
      </c>
      <c r="D13" s="17">
        <v>7644</v>
      </c>
      <c r="E13" s="17">
        <v>7880</v>
      </c>
      <c r="F13" s="17">
        <v>5337</v>
      </c>
      <c r="G13" s="18">
        <f>IF(AND(F69&lt;&gt;0,5337&lt;&gt;0),IF(100*5337/(F69-0)&lt;0.005,"*",100*5337/(F69-0)),0)</f>
        <v>0.47661232851511637</v>
      </c>
    </row>
    <row r="14" spans="1:7" x14ac:dyDescent="0.2">
      <c r="A14" s="11" t="s">
        <v>119</v>
      </c>
      <c r="B14" s="17">
        <v>7879</v>
      </c>
      <c r="C14" s="17">
        <v>236</v>
      </c>
      <c r="D14" s="17">
        <v>7644</v>
      </c>
      <c r="E14" s="17">
        <v>7880</v>
      </c>
      <c r="F14" s="17">
        <v>5337</v>
      </c>
      <c r="G14" s="18">
        <f>IF(AND(F69&lt;&gt;0,5337&lt;&gt;0),IF(100*5337/(F69-0)&lt;0.005,"*",100*5337/(F69-0)),0)</f>
        <v>0.47661232851511637</v>
      </c>
    </row>
    <row r="15" spans="1:7" x14ac:dyDescent="0.2">
      <c r="A15" s="11" t="s">
        <v>120</v>
      </c>
      <c r="B15" s="17">
        <v>54175</v>
      </c>
      <c r="C15" s="17">
        <v>1625</v>
      </c>
      <c r="D15" s="17">
        <v>52558</v>
      </c>
      <c r="E15" s="17">
        <v>54183</v>
      </c>
      <c r="F15" s="17">
        <v>36700</v>
      </c>
      <c r="G15" s="18">
        <f>IF(AND(F69&lt;&gt;0,36700&lt;&gt;0),IF(100*36700/(F69-0)&lt;0.005,"*",100*36700/(F69-0)),0)</f>
        <v>3.2774353487923498</v>
      </c>
    </row>
    <row r="16" spans="1:7" x14ac:dyDescent="0.2">
      <c r="A16" s="11" t="s">
        <v>121</v>
      </c>
      <c r="B16" s="17">
        <v>27181</v>
      </c>
      <c r="C16" s="17">
        <v>814</v>
      </c>
      <c r="D16" s="17">
        <v>26326</v>
      </c>
      <c r="E16" s="17">
        <v>27140</v>
      </c>
      <c r="F16" s="17">
        <v>18383</v>
      </c>
      <c r="G16" s="18">
        <f>IF(AND(F69&lt;&gt;0,18383&lt;&gt;0),IF(100*18383/(F69-0)&lt;0.005,"*",100*18383/(F69-0)),0)</f>
        <v>1.641664687107623</v>
      </c>
    </row>
    <row r="17" spans="1:7" x14ac:dyDescent="0.2">
      <c r="A17" s="11" t="s">
        <v>122</v>
      </c>
      <c r="B17" s="17">
        <v>554</v>
      </c>
      <c r="C17" s="17">
        <v>373</v>
      </c>
      <c r="D17" s="17">
        <v>12059</v>
      </c>
      <c r="E17" s="17">
        <v>12432</v>
      </c>
      <c r="F17" s="17">
        <v>8421</v>
      </c>
      <c r="G17" s="18">
        <f>IF(AND(F69&lt;&gt;0,8421&lt;&gt;0),IF(100*8421/(F69-0)&lt;0.005,"*",100*8421/(F69-0)),0)</f>
        <v>0.75202406191227189</v>
      </c>
    </row>
    <row r="18" spans="1:7" x14ac:dyDescent="0.2">
      <c r="A18" s="11" t="s">
        <v>123</v>
      </c>
      <c r="B18" s="17">
        <v>7879</v>
      </c>
      <c r="C18" s="17">
        <v>236</v>
      </c>
      <c r="D18" s="17">
        <v>7644</v>
      </c>
      <c r="E18" s="17">
        <v>7880</v>
      </c>
      <c r="F18" s="17">
        <v>5337</v>
      </c>
      <c r="G18" s="18">
        <f>IF(AND(F69&lt;&gt;0,5337&lt;&gt;0),IF(100*5337/(F69-0)&lt;0.005,"*",100*5337/(F69-0)),0)</f>
        <v>0.47661232851511637</v>
      </c>
    </row>
    <row r="19" spans="1:7" x14ac:dyDescent="0.2">
      <c r="A19" s="11" t="s">
        <v>124</v>
      </c>
      <c r="B19" s="17">
        <v>72687</v>
      </c>
      <c r="C19" s="17">
        <v>2178</v>
      </c>
      <c r="D19" s="17">
        <v>70419</v>
      </c>
      <c r="E19" s="17">
        <v>72597</v>
      </c>
      <c r="F19" s="17">
        <v>49173</v>
      </c>
      <c r="G19" s="18">
        <f>IF(AND(F69&lt;&gt;0,49173&lt;&gt;0),IF(100*49173/(F69-0)&lt;0.005,"*",100*49173/(F69-0)),0)</f>
        <v>4.391316850304257</v>
      </c>
    </row>
    <row r="20" spans="1:7" x14ac:dyDescent="0.2">
      <c r="A20" s="11" t="s">
        <v>125</v>
      </c>
      <c r="B20" s="17">
        <v>38679</v>
      </c>
      <c r="C20" s="17">
        <v>1161</v>
      </c>
      <c r="D20" s="17">
        <v>37524</v>
      </c>
      <c r="E20" s="17">
        <v>38685</v>
      </c>
      <c r="F20" s="17">
        <v>26203</v>
      </c>
      <c r="G20" s="18">
        <f>IF(AND(F69&lt;&gt;0,26203&lt;&gt;0),IF(100*26203/(F69-0)&lt;0.005,"*",100*26203/(F69-0)),0)</f>
        <v>2.3400173963053392</v>
      </c>
    </row>
    <row r="21" spans="1:7" x14ac:dyDescent="0.2">
      <c r="A21" s="11" t="s">
        <v>126</v>
      </c>
      <c r="B21" s="17">
        <v>21722</v>
      </c>
      <c r="C21" s="17">
        <v>652</v>
      </c>
      <c r="D21" s="17">
        <v>21073</v>
      </c>
      <c r="E21" s="17">
        <v>21725</v>
      </c>
      <c r="F21" s="17">
        <v>14715</v>
      </c>
      <c r="G21" s="18">
        <f>IF(AND(F69&lt;&gt;0,14715&lt;&gt;0),IF(100*14715/(F69-0)&lt;0.005,"*",100*14715/(F69-0)),0)</f>
        <v>1.314099759059385</v>
      </c>
    </row>
    <row r="22" spans="1:7" x14ac:dyDescent="0.2">
      <c r="A22" s="11" t="s">
        <v>127</v>
      </c>
      <c r="B22" s="17">
        <v>14512</v>
      </c>
      <c r="C22" s="17">
        <v>435</v>
      </c>
      <c r="D22" s="17">
        <v>14054</v>
      </c>
      <c r="E22" s="17">
        <v>14489</v>
      </c>
      <c r="F22" s="17">
        <v>9814</v>
      </c>
      <c r="G22" s="18">
        <f>IF(AND(F69&lt;&gt;0,9814&lt;&gt;0),IF(100*9814/(F69-0)&lt;0.005,"*",100*9814/(F69-0)),0)</f>
        <v>0.87642371970158373</v>
      </c>
    </row>
    <row r="23" spans="1:7" x14ac:dyDescent="0.2">
      <c r="A23" s="11" t="s">
        <v>128</v>
      </c>
      <c r="B23" s="17">
        <v>20463</v>
      </c>
      <c r="C23" s="17">
        <v>613</v>
      </c>
      <c r="D23" s="17">
        <v>19816</v>
      </c>
      <c r="E23" s="17">
        <v>20429</v>
      </c>
      <c r="F23" s="17">
        <v>13838</v>
      </c>
      <c r="G23" s="18">
        <f>IF(AND(F69&lt;&gt;0,13838&lt;&gt;0),IF(100*13838/(F69-0)&lt;0.005,"*",100*13838/(F69-0)),0)</f>
        <v>1.2357806636672626</v>
      </c>
    </row>
    <row r="24" spans="1:7" x14ac:dyDescent="0.2">
      <c r="A24" s="11" t="s">
        <v>129</v>
      </c>
      <c r="B24" s="17">
        <v>175</v>
      </c>
      <c r="C24" s="17">
        <v>529</v>
      </c>
      <c r="D24" s="17">
        <v>17117</v>
      </c>
      <c r="E24" s="17">
        <v>17646</v>
      </c>
      <c r="F24" s="17">
        <v>11952</v>
      </c>
      <c r="G24" s="18">
        <f>IF(AND(F69&lt;&gt;0,11952&lt;&gt;0),IF(100*11952/(F69-0)&lt;0.005,"*",100*11952/(F69-0)),0)</f>
        <v>1.0673544220372253</v>
      </c>
    </row>
    <row r="25" spans="1:7" x14ac:dyDescent="0.2">
      <c r="A25" s="11" t="s">
        <v>130</v>
      </c>
      <c r="B25" s="17">
        <v>12424</v>
      </c>
      <c r="C25" s="17">
        <v>373</v>
      </c>
      <c r="D25" s="17">
        <v>12053</v>
      </c>
      <c r="E25" s="17">
        <v>12426</v>
      </c>
      <c r="F25" s="17">
        <v>8416</v>
      </c>
      <c r="G25" s="18">
        <f>IF(AND(F69&lt;&gt;0,8416&lt;&gt;0),IF(100*8416/(F69-0)&lt;0.005,"*",100*8416/(F69-0)),0)</f>
        <v>0.75157754483477979</v>
      </c>
    </row>
    <row r="26" spans="1:7" x14ac:dyDescent="0.2">
      <c r="A26" s="11" t="s">
        <v>131</v>
      </c>
      <c r="B26" s="17">
        <v>38817</v>
      </c>
      <c r="C26" s="17">
        <v>1165</v>
      </c>
      <c r="D26" s="17">
        <v>37658</v>
      </c>
      <c r="E26" s="17">
        <v>38823</v>
      </c>
      <c r="F26" s="17">
        <v>26296</v>
      </c>
      <c r="G26" s="18">
        <f>IF(AND(F69&lt;&gt;0,26296&lt;&gt;0),IF(100*26296/(F69-0)&lt;0.005,"*",100*26296/(F69-0)),0)</f>
        <v>2.3483226139466931</v>
      </c>
    </row>
    <row r="27" spans="1:7" x14ac:dyDescent="0.2">
      <c r="A27" s="11" t="s">
        <v>132</v>
      </c>
      <c r="B27" s="17">
        <v>54491</v>
      </c>
      <c r="C27" s="17">
        <v>1635</v>
      </c>
      <c r="D27" s="17">
        <v>52864</v>
      </c>
      <c r="E27" s="17">
        <v>54499</v>
      </c>
      <c r="F27" s="17">
        <v>36914</v>
      </c>
      <c r="G27" s="18">
        <f>IF(AND(F69&lt;&gt;0,36914&lt;&gt;0),IF(100*36914/(F69-0)&lt;0.005,"*",100*36914/(F69-0)),0)</f>
        <v>3.2965462797090139</v>
      </c>
    </row>
    <row r="28" spans="1:7" x14ac:dyDescent="0.2">
      <c r="A28" s="11" t="s">
        <v>133</v>
      </c>
      <c r="B28" s="17">
        <v>69165</v>
      </c>
      <c r="C28" s="17">
        <v>2071</v>
      </c>
      <c r="D28" s="17">
        <v>66948</v>
      </c>
      <c r="E28" s="17">
        <v>69019</v>
      </c>
      <c r="F28" s="17">
        <v>46749</v>
      </c>
      <c r="G28" s="18">
        <f>IF(AND(F69&lt;&gt;0,46749&lt;&gt;0),IF(100*46749/(F69-0)&lt;0.005,"*",100*46749/(F69-0)),0)</f>
        <v>4.1748453711360645</v>
      </c>
    </row>
    <row r="29" spans="1:7" x14ac:dyDescent="0.2">
      <c r="A29" s="11" t="s">
        <v>134</v>
      </c>
      <c r="B29" s="17">
        <v>29499</v>
      </c>
      <c r="C29" s="17">
        <v>885</v>
      </c>
      <c r="D29" s="17">
        <v>28618</v>
      </c>
      <c r="E29" s="17">
        <v>29503</v>
      </c>
      <c r="F29" s="17">
        <v>19984</v>
      </c>
      <c r="G29" s="18">
        <f>IF(AND(F69&lt;&gt;0,19984&lt;&gt;0),IF(100*19984/(F69-0)&lt;0.005,"*",100*19984/(F69-0)),0)</f>
        <v>1.7846394553206082</v>
      </c>
    </row>
    <row r="30" spans="1:7" x14ac:dyDescent="0.2">
      <c r="A30" s="11" t="s">
        <v>135</v>
      </c>
      <c r="B30" s="17">
        <v>14484</v>
      </c>
      <c r="C30" s="17">
        <v>434</v>
      </c>
      <c r="D30" s="17">
        <v>14028</v>
      </c>
      <c r="E30" s="17">
        <v>14462</v>
      </c>
      <c r="F30" s="17">
        <v>9796</v>
      </c>
      <c r="G30" s="18">
        <f>IF(AND(F69&lt;&gt;0,9796&lt;&gt;0),IF(100*9796/(F69-0)&lt;0.005,"*",100*9796/(F69-0)),0)</f>
        <v>0.874816258222612</v>
      </c>
    </row>
    <row r="31" spans="1:7" x14ac:dyDescent="0.2">
      <c r="A31" s="11" t="s">
        <v>136</v>
      </c>
      <c r="B31" s="17">
        <v>44047</v>
      </c>
      <c r="C31" s="17">
        <v>1335</v>
      </c>
      <c r="D31" s="17">
        <v>43163</v>
      </c>
      <c r="E31" s="17">
        <v>44498</v>
      </c>
      <c r="F31" s="17">
        <v>30140</v>
      </c>
      <c r="G31" s="18">
        <f>IF(AND(F69&lt;&gt;0,30140&lt;&gt;0),IF(100*30140/(F69-0)&lt;0.005,"*",100*30140/(F69-0)),0)</f>
        <v>2.6916049431226545</v>
      </c>
    </row>
    <row r="32" spans="1:7" x14ac:dyDescent="0.2">
      <c r="A32" s="11" t="s">
        <v>137</v>
      </c>
      <c r="B32" s="17">
        <v>7879</v>
      </c>
      <c r="C32" s="17">
        <v>236</v>
      </c>
      <c r="D32" s="17">
        <v>7644</v>
      </c>
      <c r="E32" s="17">
        <v>7880</v>
      </c>
      <c r="F32" s="17">
        <v>5337</v>
      </c>
      <c r="G32" s="18">
        <f>IF(AND(F69&lt;&gt;0,5337&lt;&gt;0),IF(100*5337/(F69-0)&lt;0.005,"*",100*5337/(F69-0)),0)</f>
        <v>0.47661232851511637</v>
      </c>
    </row>
    <row r="33" spans="1:7" x14ac:dyDescent="0.2">
      <c r="A33" s="11" t="s">
        <v>138</v>
      </c>
      <c r="B33" s="17">
        <v>8223</v>
      </c>
      <c r="C33" s="17">
        <v>246</v>
      </c>
      <c r="D33" s="17">
        <v>7964</v>
      </c>
      <c r="E33" s="17">
        <v>8210</v>
      </c>
      <c r="F33" s="17">
        <v>5561</v>
      </c>
      <c r="G33" s="18">
        <f>IF(AND(F69&lt;&gt;0,5561&lt;&gt;0),IF(100*5561/(F69-0)&lt;0.005,"*",100*5561/(F69-0)),0)</f>
        <v>0.49661629358676451</v>
      </c>
    </row>
    <row r="34" spans="1:7" x14ac:dyDescent="0.2">
      <c r="A34" s="11" t="s">
        <v>139</v>
      </c>
      <c r="B34" s="17">
        <v>7879</v>
      </c>
      <c r="C34" s="17">
        <v>236</v>
      </c>
      <c r="D34" s="17">
        <v>7644</v>
      </c>
      <c r="E34" s="17">
        <v>7880</v>
      </c>
      <c r="F34" s="17">
        <v>5337</v>
      </c>
      <c r="G34" s="18">
        <f>IF(AND(F69&lt;&gt;0,5337&lt;&gt;0),IF(100*5337/(F69-0)&lt;0.005,"*",100*5337/(F69-0)),0)</f>
        <v>0.47661232851511637</v>
      </c>
    </row>
    <row r="35" spans="1:7" x14ac:dyDescent="0.2">
      <c r="A35" s="11" t="s">
        <v>140</v>
      </c>
      <c r="B35" s="17">
        <v>16039</v>
      </c>
      <c r="C35" s="17">
        <v>481</v>
      </c>
      <c r="D35" s="17">
        <v>15560</v>
      </c>
      <c r="E35" s="17">
        <v>16041</v>
      </c>
      <c r="F35" s="17">
        <v>10865</v>
      </c>
      <c r="G35" s="18">
        <f>IF(AND(F69&lt;&gt;0,10865&lt;&gt;0),IF(100*10865/(F69-0)&lt;0.005,"*",100*10865/(F69-0)),0)</f>
        <v>0.97028160939043273</v>
      </c>
    </row>
    <row r="36" spans="1:7" x14ac:dyDescent="0.2">
      <c r="A36" s="11" t="s">
        <v>141</v>
      </c>
      <c r="B36" s="17">
        <v>65585</v>
      </c>
      <c r="C36" s="17">
        <v>1968</v>
      </c>
      <c r="D36" s="17">
        <v>63626</v>
      </c>
      <c r="E36" s="17">
        <v>65594</v>
      </c>
      <c r="F36" s="17">
        <v>44430</v>
      </c>
      <c r="G36" s="18">
        <f>IF(AND(F69&lt;&gt;0,44430&lt;&gt;0),IF(100*44430/(F69-0)&lt;0.005,"*",100*44430/(F69-0)),0)</f>
        <v>3.9677507505952074</v>
      </c>
    </row>
    <row r="37" spans="1:7" x14ac:dyDescent="0.2">
      <c r="A37" s="11" t="s">
        <v>142</v>
      </c>
      <c r="B37" s="17">
        <v>9327</v>
      </c>
      <c r="C37" s="17">
        <v>236</v>
      </c>
      <c r="D37" s="17">
        <v>7644</v>
      </c>
      <c r="E37" s="17">
        <v>7880</v>
      </c>
      <c r="F37" s="17">
        <v>5337</v>
      </c>
      <c r="G37" s="18">
        <f>IF(AND(F69&lt;&gt;0,5337&lt;&gt;0),IF(100*5337/(F69-0)&lt;0.005,"*",100*5337/(F69-0)),0)</f>
        <v>0.47661232851511637</v>
      </c>
    </row>
    <row r="38" spans="1:7" x14ac:dyDescent="0.2">
      <c r="A38" s="11" t="s">
        <v>143</v>
      </c>
      <c r="B38" s="17">
        <v>177146</v>
      </c>
      <c r="C38" s="17">
        <v>5315</v>
      </c>
      <c r="D38" s="17">
        <v>171858</v>
      </c>
      <c r="E38" s="17">
        <v>177173</v>
      </c>
      <c r="F38" s="17">
        <v>120012</v>
      </c>
      <c r="G38" s="18">
        <f>IF(AND(F69&lt;&gt;0,120012&lt;&gt;0),IF(100*120012/(F69-0)&lt;0.005,"*",100*120012/(F69-0)),0)</f>
        <v>10.717481500797479</v>
      </c>
    </row>
    <row r="39" spans="1:7" x14ac:dyDescent="0.2">
      <c r="A39" s="11" t="s">
        <v>144</v>
      </c>
      <c r="B39" s="17">
        <v>29017</v>
      </c>
      <c r="C39" s="17">
        <v>869</v>
      </c>
      <c r="D39" s="17">
        <v>28101</v>
      </c>
      <c r="E39" s="17">
        <v>28970</v>
      </c>
      <c r="F39" s="17">
        <v>19622</v>
      </c>
      <c r="G39" s="18">
        <f>IF(AND(F69&lt;&gt;0,19622&lt;&gt;0),IF(100*19622/(F69-0)&lt;0.005,"*",100*19622/(F69-0)),0)</f>
        <v>1.7523116189101768</v>
      </c>
    </row>
    <row r="40" spans="1:7" x14ac:dyDescent="0.2">
      <c r="A40" s="11" t="s">
        <v>145</v>
      </c>
      <c r="B40" s="17">
        <v>7879</v>
      </c>
      <c r="C40" s="17">
        <v>236</v>
      </c>
      <c r="D40" s="17">
        <v>7644</v>
      </c>
      <c r="E40" s="17">
        <v>7880</v>
      </c>
      <c r="F40" s="17">
        <v>5337</v>
      </c>
      <c r="G40" s="18">
        <f>IF(AND(F69&lt;&gt;0,5337&lt;&gt;0),IF(100*5337/(F69-0)&lt;0.005,"*",100*5337/(F69-0)),0)</f>
        <v>0.47661232851511637</v>
      </c>
    </row>
    <row r="41" spans="1:7" x14ac:dyDescent="0.2">
      <c r="A41" s="11" t="s">
        <v>146</v>
      </c>
      <c r="B41" s="17">
        <v>90352</v>
      </c>
      <c r="C41" s="17">
        <v>2711</v>
      </c>
      <c r="D41" s="17">
        <v>87653</v>
      </c>
      <c r="E41" s="17">
        <v>90364</v>
      </c>
      <c r="F41" s="17">
        <v>61207</v>
      </c>
      <c r="G41" s="18">
        <f>IF(AND(F69&lt;&gt;0,61207&lt;&gt;0),IF(100*61207/(F69-0)&lt;0.005,"*",100*61207/(F69-0)),0)</f>
        <v>5.4659941524123532</v>
      </c>
    </row>
    <row r="42" spans="1:7" x14ac:dyDescent="0.2">
      <c r="A42" s="11" t="s">
        <v>147</v>
      </c>
      <c r="B42" s="17">
        <v>14138</v>
      </c>
      <c r="C42" s="17">
        <v>389</v>
      </c>
      <c r="D42" s="17">
        <v>12579</v>
      </c>
      <c r="E42" s="17">
        <v>12968</v>
      </c>
      <c r="F42" s="17">
        <v>8784</v>
      </c>
      <c r="G42" s="18">
        <f>IF(AND(F69&lt;&gt;0,8784&lt;&gt;0),IF(100*8784/(F69-0)&lt;0.005,"*",100*8784/(F69-0)),0)</f>
        <v>0.78444120173820164</v>
      </c>
    </row>
    <row r="43" spans="1:7" x14ac:dyDescent="0.2">
      <c r="A43" s="11" t="s">
        <v>148</v>
      </c>
      <c r="B43" s="17">
        <v>18130</v>
      </c>
      <c r="C43" s="17">
        <v>544</v>
      </c>
      <c r="D43" s="17">
        <v>17589</v>
      </c>
      <c r="E43" s="17">
        <v>18133</v>
      </c>
      <c r="F43" s="17">
        <v>12282</v>
      </c>
      <c r="G43" s="18">
        <f>IF(AND(F69&lt;&gt;0,12282&lt;&gt;0),IF(100*12282/(F69-0)&lt;0.005,"*",100*12282/(F69-0)),0)</f>
        <v>1.0968245491517068</v>
      </c>
    </row>
    <row r="44" spans="1:7" x14ac:dyDescent="0.2">
      <c r="A44" s="11" t="s">
        <v>149</v>
      </c>
      <c r="B44" s="17">
        <v>63575</v>
      </c>
      <c r="C44" s="17">
        <v>1907</v>
      </c>
      <c r="D44" s="17">
        <v>61676</v>
      </c>
      <c r="E44" s="17">
        <v>63583</v>
      </c>
      <c r="F44" s="17">
        <v>43067</v>
      </c>
      <c r="G44" s="18">
        <f>IF(AND(F69&lt;&gt;0,43067&lt;&gt;0),IF(100*43067/(F69-0)&lt;0.005,"*",100*43067/(F69-0)),0)</f>
        <v>3.8460301952708482</v>
      </c>
    </row>
    <row r="45" spans="1:7" x14ac:dyDescent="0.2">
      <c r="A45" s="11" t="s">
        <v>150</v>
      </c>
      <c r="B45" s="17">
        <v>10777</v>
      </c>
      <c r="C45" s="17">
        <v>323</v>
      </c>
      <c r="D45" s="17">
        <v>10455</v>
      </c>
      <c r="E45" s="17">
        <v>10778</v>
      </c>
      <c r="F45" s="17">
        <v>7300</v>
      </c>
      <c r="G45" s="18">
        <f>IF(AND(F69&lt;&gt;0,7300&lt;&gt;0),IF(100*7300/(F69-0)&lt;0.005,"*",100*7300/(F69-0)),0)</f>
        <v>0.65191493313853277</v>
      </c>
    </row>
    <row r="46" spans="1:7" x14ac:dyDescent="0.2">
      <c r="A46" s="11" t="s">
        <v>151</v>
      </c>
      <c r="B46" s="17">
        <v>16442</v>
      </c>
      <c r="C46" s="17">
        <v>493</v>
      </c>
      <c r="D46" s="17">
        <v>15951</v>
      </c>
      <c r="E46" s="17">
        <v>16444</v>
      </c>
      <c r="F46" s="17">
        <v>11138</v>
      </c>
      <c r="G46" s="18">
        <f>IF(AND(F69&lt;&gt;0,11138&lt;&gt;0),IF(100*11138/(F69-0)&lt;0.005,"*",100*11138/(F69-0)),0)</f>
        <v>0.99466144182150396</v>
      </c>
    </row>
    <row r="47" spans="1:7" x14ac:dyDescent="0.2">
      <c r="A47" s="11" t="s">
        <v>152</v>
      </c>
      <c r="B47" s="17">
        <v>7879</v>
      </c>
      <c r="C47" s="17">
        <v>236</v>
      </c>
      <c r="D47" s="17">
        <v>7644</v>
      </c>
      <c r="E47" s="17">
        <v>7880</v>
      </c>
      <c r="F47" s="17">
        <v>5337</v>
      </c>
      <c r="G47" s="18">
        <f>IF(AND(F69&lt;&gt;0,5337&lt;&gt;0),IF(100*5337/(F69-0)&lt;0.005,"*",100*5337/(F69-0)),0)</f>
        <v>0.47661232851511637</v>
      </c>
    </row>
    <row r="48" spans="1:7" x14ac:dyDescent="0.2">
      <c r="A48" s="11" t="s">
        <v>153</v>
      </c>
      <c r="B48" s="17">
        <v>23356</v>
      </c>
      <c r="C48" s="17">
        <v>700</v>
      </c>
      <c r="D48" s="17">
        <v>22618</v>
      </c>
      <c r="E48" s="17">
        <v>23318</v>
      </c>
      <c r="F48" s="17">
        <v>15794</v>
      </c>
      <c r="G48" s="18">
        <f>IF(AND(F69&lt;&gt;0,15794&lt;&gt;0),IF(100*15794/(F69-0)&lt;0.005,"*",100*15794/(F69-0)),0)</f>
        <v>1.41045814438219</v>
      </c>
    </row>
    <row r="49" spans="1:7" x14ac:dyDescent="0.2">
      <c r="A49" s="11" t="s">
        <v>154</v>
      </c>
      <c r="B49" s="17">
        <v>73356</v>
      </c>
      <c r="C49" s="17">
        <v>2201</v>
      </c>
      <c r="D49" s="17">
        <v>71165</v>
      </c>
      <c r="E49" s="17">
        <v>73366</v>
      </c>
      <c r="F49" s="17">
        <v>49694</v>
      </c>
      <c r="G49" s="18">
        <f>IF(AND(F69&lt;&gt;0,49694&lt;&gt;0),IF(100*49694/(F69-0)&lt;0.005,"*",100*49694/(F69-0)),0)</f>
        <v>4.4378439297789383</v>
      </c>
    </row>
    <row r="50" spans="1:7" x14ac:dyDescent="0.2">
      <c r="A50" s="11" t="s">
        <v>155</v>
      </c>
      <c r="B50" s="17">
        <v>8457</v>
      </c>
      <c r="C50" s="17">
        <v>254</v>
      </c>
      <c r="D50" s="17">
        <v>8204</v>
      </c>
      <c r="E50" s="17">
        <v>8458</v>
      </c>
      <c r="F50" s="17">
        <v>5729</v>
      </c>
      <c r="G50" s="18">
        <f>IF(AND(F69&lt;&gt;0,5729&lt;&gt;0),IF(100*5729/(F69-0)&lt;0.005,"*",100*5729/(F69-0)),0)</f>
        <v>0.51161926739050057</v>
      </c>
    </row>
    <row r="51" spans="1:7" x14ac:dyDescent="0.2">
      <c r="A51" s="11" t="s">
        <v>156</v>
      </c>
      <c r="B51" s="17">
        <v>7879</v>
      </c>
      <c r="C51" s="17">
        <v>236</v>
      </c>
      <c r="D51" s="17">
        <v>7644</v>
      </c>
      <c r="E51" s="17">
        <v>7880</v>
      </c>
      <c r="F51" s="17">
        <v>5337</v>
      </c>
      <c r="G51" s="18">
        <f>IF(AND(F69&lt;&gt;0,5337&lt;&gt;0),IF(100*5337/(F69-0)&lt;0.005,"*",100*5337/(F69-0)),0)</f>
        <v>0.47661232851511637</v>
      </c>
    </row>
    <row r="52" spans="1:7" x14ac:dyDescent="0.2">
      <c r="A52" s="11" t="s">
        <v>157</v>
      </c>
      <c r="B52" s="17">
        <v>32846</v>
      </c>
      <c r="C52" s="17">
        <v>986</v>
      </c>
      <c r="D52" s="17">
        <v>31865</v>
      </c>
      <c r="E52" s="17">
        <v>32851</v>
      </c>
      <c r="F52" s="17">
        <v>22251</v>
      </c>
      <c r="G52" s="18">
        <f>IF(AND(F69&lt;&gt;0,22251&lt;&gt;0),IF(100*22251/(F69-0)&lt;0.005,"*",100*22251/(F69-0)),0)</f>
        <v>1.9870902982555472</v>
      </c>
    </row>
    <row r="53" spans="1:7" x14ac:dyDescent="0.2">
      <c r="A53" s="11" t="s">
        <v>158</v>
      </c>
      <c r="B53" s="17">
        <v>27908</v>
      </c>
      <c r="C53" s="17">
        <v>837</v>
      </c>
      <c r="D53" s="17">
        <v>27077</v>
      </c>
      <c r="E53" s="17">
        <v>27914</v>
      </c>
      <c r="F53" s="17">
        <v>18907</v>
      </c>
      <c r="G53" s="18">
        <f>IF(AND(F69&lt;&gt;0,18907&lt;&gt;0),IF(100*18907/(F69-0)&lt;0.005,"*",100*18907/(F69-0)),0)</f>
        <v>1.6884596768288</v>
      </c>
    </row>
    <row r="54" spans="1:7" x14ac:dyDescent="0.2">
      <c r="A54" s="11" t="s">
        <v>159</v>
      </c>
      <c r="B54" s="17">
        <v>25019</v>
      </c>
      <c r="C54" s="17">
        <v>751</v>
      </c>
      <c r="D54" s="17">
        <v>24272</v>
      </c>
      <c r="E54" s="17">
        <v>25023</v>
      </c>
      <c r="F54" s="17">
        <v>16949</v>
      </c>
      <c r="G54" s="18">
        <f>IF(AND(F69&lt;&gt;0,16949&lt;&gt;0),IF(100*16949/(F69-0)&lt;0.005,"*",100*16949/(F69-0)),0)</f>
        <v>1.5136035892828756</v>
      </c>
    </row>
    <row r="55" spans="1:7" x14ac:dyDescent="0.2">
      <c r="A55" s="11" t="s">
        <v>160</v>
      </c>
      <c r="B55" s="17">
        <v>43389</v>
      </c>
      <c r="C55" s="17">
        <v>1302</v>
      </c>
      <c r="D55" s="17">
        <v>42093</v>
      </c>
      <c r="E55" s="17">
        <v>43395</v>
      </c>
      <c r="F55" s="17">
        <v>29393</v>
      </c>
      <c r="G55" s="18">
        <f>IF(AND(F69&lt;&gt;0,29393&lt;&gt;0),IF(100*29393/(F69-0)&lt;0.005,"*",100*29393/(F69-0)),0)</f>
        <v>2.6248952917453279</v>
      </c>
    </row>
    <row r="56" spans="1:7" x14ac:dyDescent="0.2">
      <c r="A56" s="11" t="s">
        <v>161</v>
      </c>
      <c r="B56" s="17">
        <v>7879</v>
      </c>
      <c r="C56" s="17">
        <v>236</v>
      </c>
      <c r="D56" s="17">
        <v>7644</v>
      </c>
      <c r="E56" s="17">
        <v>7880</v>
      </c>
      <c r="F56" s="17">
        <v>5337</v>
      </c>
      <c r="G56" s="18">
        <f>IF(AND(F69&lt;&gt;0,5337&lt;&gt;0),IF(100*5337/(F69-0)&lt;0.005,"*",100*5337/(F69-0)),0)</f>
        <v>0.47661232851511637</v>
      </c>
    </row>
    <row r="57" spans="1:7" x14ac:dyDescent="0.2">
      <c r="A57" s="11" t="s">
        <v>162</v>
      </c>
      <c r="B57" s="17">
        <v>8701</v>
      </c>
      <c r="C57" s="17">
        <v>261</v>
      </c>
      <c r="D57" s="17">
        <v>8440</v>
      </c>
      <c r="E57" s="17">
        <v>8701</v>
      </c>
      <c r="F57" s="17">
        <v>5904</v>
      </c>
      <c r="G57" s="18">
        <f>IF(AND(F69&lt;&gt;0,5904&lt;&gt;0),IF(100*5904/(F69-0)&lt;0.005,"*",100*5904/(F69-0)),0)</f>
        <v>0.52724736510272574</v>
      </c>
    </row>
    <row r="58" spans="1:7" x14ac:dyDescent="0.2">
      <c r="A58" s="11" t="s">
        <v>163</v>
      </c>
      <c r="B58" s="17">
        <v>6296</v>
      </c>
      <c r="C58" s="17">
        <v>189</v>
      </c>
      <c r="D58" s="17">
        <v>6107</v>
      </c>
      <c r="E58" s="17">
        <v>6296</v>
      </c>
      <c r="F58" s="17">
        <v>4272</v>
      </c>
      <c r="G58" s="18">
        <f>IF(AND(F69&lt;&gt;0,4272&lt;&gt;0),IF(100*4272/(F69-0)&lt;0.005,"*",100*4272/(F69-0)),0)</f>
        <v>0.38150419100928934</v>
      </c>
    </row>
    <row r="59" spans="1:7" x14ac:dyDescent="0.2">
      <c r="A59" s="11" t="s">
        <v>164</v>
      </c>
      <c r="B59" s="17">
        <v>4044</v>
      </c>
      <c r="C59" s="17">
        <v>121</v>
      </c>
      <c r="D59" s="17">
        <v>3923</v>
      </c>
      <c r="E59" s="17">
        <v>4044</v>
      </c>
      <c r="F59" s="17">
        <v>2744</v>
      </c>
      <c r="G59" s="18">
        <f>IF(AND(F69&lt;&gt;0,2744&lt;&gt;0),IF(100*2744/(F69-0)&lt;0.005,"*",100*2744/(F69-0)),0)</f>
        <v>0.2450485721276896</v>
      </c>
    </row>
    <row r="60" spans="1:7" x14ac:dyDescent="0.2">
      <c r="A60" s="11" t="s">
        <v>165</v>
      </c>
      <c r="B60" s="17">
        <v>21144</v>
      </c>
      <c r="C60" s="17">
        <v>628</v>
      </c>
      <c r="D60" s="17">
        <v>20308</v>
      </c>
      <c r="E60" s="17">
        <v>20936</v>
      </c>
      <c r="F60" s="17">
        <v>14181</v>
      </c>
      <c r="G60" s="18">
        <f>IF(AND(F69&lt;&gt;0,14181&lt;&gt;0),IF(100*14181/(F69-0)&lt;0.005,"*",100*14181/(F69-0)),0)</f>
        <v>1.2664117351832238</v>
      </c>
    </row>
    <row r="61" spans="1:7" x14ac:dyDescent="0.2">
      <c r="A61" s="11" t="s">
        <v>166</v>
      </c>
      <c r="B61" s="17">
        <v>0</v>
      </c>
      <c r="C61" s="17">
        <v>0</v>
      </c>
      <c r="D61" s="17">
        <v>0</v>
      </c>
      <c r="E61" s="17">
        <v>0</v>
      </c>
      <c r="F61" s="17">
        <v>0</v>
      </c>
      <c r="G61" s="18">
        <f>IF(AND(F69&lt;&gt;0,0&lt;&gt;0),IF(100*0/(F69-0)&lt;0.005,"*",100*0/(F69-0)),0)</f>
        <v>0</v>
      </c>
    </row>
    <row r="62" spans="1:7" x14ac:dyDescent="0.2">
      <c r="A62" s="11" t="s">
        <v>167</v>
      </c>
      <c r="B62" s="17">
        <v>5201</v>
      </c>
      <c r="C62" s="17">
        <v>152</v>
      </c>
      <c r="D62" s="17">
        <v>4899</v>
      </c>
      <c r="E62" s="17">
        <v>5051</v>
      </c>
      <c r="F62" s="17">
        <v>3427</v>
      </c>
      <c r="G62" s="18">
        <f>IF(AND(F69&lt;&gt;0,3427&lt;&gt;0),IF(100*3427/(F69-0)&lt;0.005,"*",100*3427/(F69-0)),0)</f>
        <v>0.30604280491311669</v>
      </c>
    </row>
    <row r="63" spans="1:7" x14ac:dyDescent="0.2">
      <c r="A63" s="11" t="s">
        <v>168</v>
      </c>
      <c r="B63" s="17">
        <v>15331</v>
      </c>
      <c r="C63" s="17">
        <v>983</v>
      </c>
      <c r="D63" s="17">
        <v>31794</v>
      </c>
      <c r="E63" s="17">
        <v>32777</v>
      </c>
      <c r="F63" s="17">
        <v>30000</v>
      </c>
      <c r="G63" s="18">
        <f>IF(AND(F69&lt;&gt;0,30000&lt;&gt;0),IF(100*30000/(F69-0)&lt;0.005,"*",100*30000/(F69-0)),0)</f>
        <v>2.6791024649528747</v>
      </c>
    </row>
    <row r="64" spans="1:7" x14ac:dyDescent="0.2">
      <c r="A64" s="11" t="s">
        <v>169</v>
      </c>
      <c r="B64" s="17">
        <v>0</v>
      </c>
      <c r="C64" s="17">
        <v>0</v>
      </c>
      <c r="D64" s="17">
        <v>0</v>
      </c>
      <c r="E64" s="17">
        <v>0</v>
      </c>
      <c r="F64" s="17">
        <v>0</v>
      </c>
      <c r="G64" s="18">
        <v>0</v>
      </c>
    </row>
    <row r="65" spans="1:7" ht="25.5" x14ac:dyDescent="0.2">
      <c r="A65" s="11" t="s">
        <v>408</v>
      </c>
      <c r="B65" s="22" t="s">
        <v>409</v>
      </c>
      <c r="C65" s="17">
        <v>0</v>
      </c>
      <c r="D65" s="17">
        <v>0</v>
      </c>
      <c r="E65" s="17">
        <v>0</v>
      </c>
      <c r="F65" s="17">
        <v>0</v>
      </c>
      <c r="G65" s="18">
        <f>IF(AND(F69&lt;&gt;0,0&lt;&gt;0),IF(100*0/(F69-0)&lt;0.005,"*",100*0/(F69-0)),0)</f>
        <v>0</v>
      </c>
    </row>
    <row r="66" spans="1:7" ht="25.5" x14ac:dyDescent="0.2">
      <c r="A66" s="11" t="s">
        <v>410</v>
      </c>
      <c r="B66" s="22" t="s">
        <v>411</v>
      </c>
      <c r="C66" s="17">
        <v>26</v>
      </c>
      <c r="D66" s="17">
        <v>855</v>
      </c>
      <c r="E66" s="17">
        <v>881</v>
      </c>
      <c r="F66" s="17">
        <v>2505</v>
      </c>
      <c r="G66" s="18">
        <f>IF(AND(F69&lt;&gt;0,2505&lt;&gt;0),IF(100*2505/(F69-0)&lt;0.005,"*",100*2505/(F69-0)),0)</f>
        <v>0.22370505582356504</v>
      </c>
    </row>
    <row r="67" spans="1:7" ht="15" x14ac:dyDescent="0.2">
      <c r="A67" s="11" t="s">
        <v>412</v>
      </c>
      <c r="B67" s="22" t="s">
        <v>413</v>
      </c>
      <c r="C67" s="17">
        <v>0</v>
      </c>
      <c r="D67" s="17">
        <v>0</v>
      </c>
      <c r="E67" s="17">
        <v>0</v>
      </c>
      <c r="F67" s="17">
        <v>0</v>
      </c>
      <c r="G67" s="18">
        <f>IF(AND(F69&lt;&gt;0,0&lt;&gt;0),IF(100*0/(F69-0)&lt;0.005,"*",100*0/(F69-0)),0)</f>
        <v>0</v>
      </c>
    </row>
    <row r="68" spans="1:7" ht="25.5" x14ac:dyDescent="0.2">
      <c r="A68" s="11" t="s">
        <v>414</v>
      </c>
      <c r="B68" s="22" t="s">
        <v>415</v>
      </c>
      <c r="C68" s="17">
        <v>0</v>
      </c>
      <c r="D68" s="17">
        <v>0</v>
      </c>
      <c r="E68" s="17">
        <v>0</v>
      </c>
      <c r="F68" s="17">
        <v>0</v>
      </c>
      <c r="G68" s="18">
        <f>IF(AND(F69&lt;&gt;0,0&lt;&gt;0),IF(100*0/(F69-0)&lt;0.005,"*",100*0/(F69-0)),0)</f>
        <v>0</v>
      </c>
    </row>
    <row r="69" spans="1:7" ht="15" customHeight="1" x14ac:dyDescent="0.2">
      <c r="A69" s="19" t="s">
        <v>110</v>
      </c>
      <c r="B69" s="20">
        <f>17977+9606+16108+28117+117898+12838+19662+7879+7879+54175+27181+554+7879+72687+38679+21722+14512+20463+175+12424+38817+54491+69165+29499+14484+44047+7879+8223+7879+16039+65585+9327+177146+29017+7879+90352+14138+18130+63575+10777+16442+7879+23356+73356+8457+7879+32846+27908+25019+43389+7879+8701+6296+4044+21144+0+5201+15331+0+4487+745+108+25+0</f>
        <v>1625356</v>
      </c>
      <c r="C69" s="20">
        <f>538+288+325+315+3444+385+590+236+236+1625+814+373+236+2178+1161+652+435+613+529+373+1165+1635+2071+885+434+1335+236+246+236+481+1968+236+5315+869+236+2711+389+544+1907+323+493+236+700+2201+254+236+986+837+751+1302+236+261+189+121+628+0+152+983+0+0+26+0+0+0</f>
        <v>49160</v>
      </c>
      <c r="D69" s="20">
        <f>17411+9319+10517+10185+111357+12455+19074+7644+7644+52558+26326+12059+7644+70419+37524+21073+14054+19816+17117+12053+37658+52864+66948+28618+14028+43163+7644+7964+7644+15560+63626+7644+171858+28101+7644+87653+12579+17589+61676+10455+15951+7644+22618+71165+8204+7644+31865+27077+24272+42093+7644+8440+6107+3923+20308+0+4899+31794+0+0+855+0+0+0</f>
        <v>1589668</v>
      </c>
      <c r="E69" s="20">
        <f>SUM(C69:D69)</f>
        <v>1638828</v>
      </c>
      <c r="F69" s="20">
        <f>12157+6507+7343+7112+77760+8697+13320+5337+5337+36700+18383+8421+5337+49173+26203+14715+9814+13838+11952+8416+26296+36914+46749+19984+9796+30140+5337+5561+5337+10865+44430+5337+120012+19622+5337+61207+8784+12282+43067+7300+11138+5337+15794+49694+5729+5337+22251+18907+16949+29393+5337+5904+4272+2744+14181+0+3427+30000+0+0+2505+0+0+0</f>
        <v>1119778</v>
      </c>
      <c r="G69" s="21" t="s">
        <v>416</v>
      </c>
    </row>
    <row r="70" spans="1:7" ht="15" customHeight="1" x14ac:dyDescent="0.2">
      <c r="A70" s="74" t="s">
        <v>171</v>
      </c>
      <c r="B70" s="74"/>
      <c r="C70" s="74"/>
      <c r="D70" s="74"/>
      <c r="E70" s="74"/>
      <c r="F70" s="74"/>
      <c r="G70" s="74"/>
    </row>
    <row r="71" spans="1:7" ht="15" customHeight="1" x14ac:dyDescent="0.2">
      <c r="A71" s="67" t="s">
        <v>417</v>
      </c>
      <c r="B71" s="67"/>
      <c r="C71" s="67"/>
      <c r="D71" s="67"/>
      <c r="E71" s="67"/>
      <c r="F71" s="67"/>
      <c r="G71" s="67"/>
    </row>
    <row r="72" spans="1:7" ht="15" customHeight="1" x14ac:dyDescent="0.2">
      <c r="A72" s="67" t="s">
        <v>418</v>
      </c>
      <c r="B72" s="67"/>
      <c r="C72" s="67"/>
      <c r="D72" s="67"/>
      <c r="E72" s="67"/>
      <c r="F72" s="67"/>
      <c r="G72" s="67"/>
    </row>
    <row r="73" spans="1:7" ht="15" customHeight="1" x14ac:dyDescent="0.2">
      <c r="A73" s="67" t="s">
        <v>419</v>
      </c>
      <c r="B73" s="67"/>
      <c r="C73" s="67"/>
      <c r="D73" s="67"/>
      <c r="E73" s="67"/>
      <c r="F73" s="67"/>
      <c r="G73" s="67"/>
    </row>
    <row r="74" spans="1:7" ht="15" customHeight="1" x14ac:dyDescent="0.2">
      <c r="A74" s="67" t="s">
        <v>420</v>
      </c>
      <c r="B74" s="67"/>
      <c r="C74" s="67"/>
      <c r="D74" s="67"/>
      <c r="E74" s="67"/>
      <c r="F74" s="67"/>
      <c r="G74" s="67"/>
    </row>
    <row r="75" spans="1:7" ht="15" customHeight="1" x14ac:dyDescent="0.2">
      <c r="A75" s="67" t="s">
        <v>421</v>
      </c>
      <c r="B75" s="67"/>
      <c r="C75" s="67"/>
      <c r="D75" s="67"/>
      <c r="E75" s="67"/>
      <c r="F75" s="67"/>
      <c r="G75" s="67"/>
    </row>
  </sheetData>
  <mergeCells count="10">
    <mergeCell ref="A72:G72"/>
    <mergeCell ref="A73:G73"/>
    <mergeCell ref="A74:G74"/>
    <mergeCell ref="A75:G75"/>
    <mergeCell ref="A4:A5"/>
    <mergeCell ref="B4:B5"/>
    <mergeCell ref="F4:F5"/>
    <mergeCell ref="G4:G5"/>
    <mergeCell ref="A70:G70"/>
    <mergeCell ref="A71:G7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77"/>
  <sheetViews>
    <sheetView workbookViewId="0"/>
  </sheetViews>
  <sheetFormatPr defaultRowHeight="12.75" x14ac:dyDescent="0.2"/>
  <cols>
    <col min="1" max="1" width="30.7109375" customWidth="1"/>
    <col min="2" max="7" width="11.7109375" customWidth="1"/>
  </cols>
  <sheetData>
    <row r="1" spans="1:7" ht="38.25" customHeight="1" x14ac:dyDescent="0.2">
      <c r="A1" s="12" t="s">
        <v>405</v>
      </c>
      <c r="B1" s="10"/>
      <c r="C1" s="10"/>
      <c r="D1" s="10"/>
      <c r="E1" s="10"/>
      <c r="F1" s="10"/>
      <c r="G1" s="12" t="s">
        <v>406</v>
      </c>
    </row>
    <row r="2" spans="1:7" x14ac:dyDescent="0.2">
      <c r="A2" s="13" t="s">
        <v>422</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23721</v>
      </c>
      <c r="C6" s="17">
        <v>711</v>
      </c>
      <c r="D6" s="17">
        <v>22975</v>
      </c>
      <c r="E6" s="17">
        <v>23686</v>
      </c>
      <c r="F6" s="17">
        <v>18147</v>
      </c>
      <c r="G6" s="18">
        <f>IF(AND(F70&lt;&gt;0,18147&lt;&gt;0),IF(100*18147/(F70-0)&lt;0.005,"*",100*18147/(F70-0)),0)</f>
        <v>2.1022085527116023</v>
      </c>
    </row>
    <row r="7" spans="1:7" x14ac:dyDescent="0.2">
      <c r="A7" s="11" t="s">
        <v>112</v>
      </c>
      <c r="B7" s="17">
        <v>11004</v>
      </c>
      <c r="C7" s="17">
        <v>330</v>
      </c>
      <c r="D7" s="17">
        <v>10658</v>
      </c>
      <c r="E7" s="17">
        <v>10988</v>
      </c>
      <c r="F7" s="17">
        <v>8418</v>
      </c>
      <c r="G7" s="18">
        <f>IF(AND(F70&lt;&gt;0,8418&lt;&gt;0),IF(100*8418/(F70-0)&lt;0.005,"*",100*8418/(F70-0)),0)</f>
        <v>0.97516898642895622</v>
      </c>
    </row>
    <row r="8" spans="1:7" x14ac:dyDescent="0.2">
      <c r="A8" s="11" t="s">
        <v>113</v>
      </c>
      <c r="B8" s="17">
        <v>24708</v>
      </c>
      <c r="C8" s="17">
        <v>593</v>
      </c>
      <c r="D8" s="17">
        <v>19167</v>
      </c>
      <c r="E8" s="17">
        <v>19760</v>
      </c>
      <c r="F8" s="17">
        <v>15140</v>
      </c>
      <c r="G8" s="18">
        <f>IF(AND(F70&lt;&gt;0,15140&lt;&gt;0),IF(100*15140/(F70-0)&lt;0.005,"*",100*15140/(F70-0)),0)</f>
        <v>1.7538677185239246</v>
      </c>
    </row>
    <row r="9" spans="1:7" x14ac:dyDescent="0.2">
      <c r="A9" s="11" t="s">
        <v>114</v>
      </c>
      <c r="B9" s="17">
        <v>16555</v>
      </c>
      <c r="C9" s="17">
        <v>496</v>
      </c>
      <c r="D9" s="17">
        <v>16035</v>
      </c>
      <c r="E9" s="17">
        <v>16531</v>
      </c>
      <c r="F9" s="17">
        <v>12665</v>
      </c>
      <c r="G9" s="18">
        <f>IF(AND(F70&lt;&gt;0,12665&lt;&gt;0),IF(100*12665/(F70-0)&lt;0.005,"*",100*12665/(F70-0)),0)</f>
        <v>1.4671555254362949</v>
      </c>
    </row>
    <row r="10" spans="1:7" x14ac:dyDescent="0.2">
      <c r="A10" s="11" t="s">
        <v>115</v>
      </c>
      <c r="B10" s="17">
        <v>100559</v>
      </c>
      <c r="C10" s="17">
        <v>2908</v>
      </c>
      <c r="D10" s="17">
        <v>94021</v>
      </c>
      <c r="E10" s="17">
        <v>96929</v>
      </c>
      <c r="F10" s="17">
        <v>74266</v>
      </c>
      <c r="G10" s="18">
        <f>IF(AND(F70&lt;&gt;0,74266&lt;&gt;0),IF(100*74266/(F70-0)&lt;0.005,"*",100*74266/(F70-0)),0)</f>
        <v>8.6032192855943048</v>
      </c>
    </row>
    <row r="11" spans="1:7" x14ac:dyDescent="0.2">
      <c r="A11" s="11" t="s">
        <v>116</v>
      </c>
      <c r="B11" s="17">
        <v>21741</v>
      </c>
      <c r="C11" s="17">
        <v>651</v>
      </c>
      <c r="D11" s="17">
        <v>21058</v>
      </c>
      <c r="E11" s="17">
        <v>21709</v>
      </c>
      <c r="F11" s="17">
        <v>16633</v>
      </c>
      <c r="G11" s="18">
        <f>IF(AND(F70&lt;&gt;0,16633&lt;&gt;0),IF(100*16633/(F70-0)&lt;0.005,"*",100*16633/(F70-0)),0)</f>
        <v>1.9268217808592099</v>
      </c>
    </row>
    <row r="12" spans="1:7" x14ac:dyDescent="0.2">
      <c r="A12" s="11" t="s">
        <v>117</v>
      </c>
      <c r="B12" s="17">
        <v>11004</v>
      </c>
      <c r="C12" s="17">
        <v>330</v>
      </c>
      <c r="D12" s="17">
        <v>10658</v>
      </c>
      <c r="E12" s="17">
        <v>10988</v>
      </c>
      <c r="F12" s="17">
        <v>8418</v>
      </c>
      <c r="G12" s="18">
        <f>IF(AND(F70&lt;&gt;0,8418&lt;&gt;0),IF(100*8418/(F70-0)&lt;0.005,"*",100*8418/(F70-0)),0)</f>
        <v>0.97516898642895622</v>
      </c>
    </row>
    <row r="13" spans="1:7" x14ac:dyDescent="0.2">
      <c r="A13" s="11" t="s">
        <v>118</v>
      </c>
      <c r="B13" s="17">
        <v>11004</v>
      </c>
      <c r="C13" s="17">
        <v>330</v>
      </c>
      <c r="D13" s="17">
        <v>10658</v>
      </c>
      <c r="E13" s="17">
        <v>10988</v>
      </c>
      <c r="F13" s="17">
        <v>8418</v>
      </c>
      <c r="G13" s="18">
        <f>IF(AND(F70&lt;&gt;0,8418&lt;&gt;0),IF(100*8418/(F70-0)&lt;0.005,"*",100*8418/(F70-0)),0)</f>
        <v>0.97516898642895622</v>
      </c>
    </row>
    <row r="14" spans="1:7" x14ac:dyDescent="0.2">
      <c r="A14" s="11" t="s">
        <v>119</v>
      </c>
      <c r="B14" s="17">
        <v>11004</v>
      </c>
      <c r="C14" s="17">
        <v>330</v>
      </c>
      <c r="D14" s="17">
        <v>10658</v>
      </c>
      <c r="E14" s="17">
        <v>10988</v>
      </c>
      <c r="F14" s="17">
        <v>8418</v>
      </c>
      <c r="G14" s="18">
        <f>IF(AND(F70&lt;&gt;0,8418&lt;&gt;0),IF(100*8418/(F70-0)&lt;0.005,"*",100*8418/(F70-0)),0)</f>
        <v>0.97516898642895622</v>
      </c>
    </row>
    <row r="15" spans="1:7" x14ac:dyDescent="0.2">
      <c r="A15" s="11" t="s">
        <v>120</v>
      </c>
      <c r="B15" s="17">
        <v>43187</v>
      </c>
      <c r="C15" s="17">
        <v>1298</v>
      </c>
      <c r="D15" s="17">
        <v>41954</v>
      </c>
      <c r="E15" s="17">
        <v>43252</v>
      </c>
      <c r="F15" s="17">
        <v>33139</v>
      </c>
      <c r="G15" s="18">
        <f>IF(AND(F70&lt;&gt;0,33139&lt;&gt;0),IF(100*33139/(F70-0)&lt;0.005,"*",100*33139/(F70-0)),0)</f>
        <v>3.8389314613054384</v>
      </c>
    </row>
    <row r="16" spans="1:7" x14ac:dyDescent="0.2">
      <c r="A16" s="11" t="s">
        <v>121</v>
      </c>
      <c r="B16" s="17">
        <v>25931</v>
      </c>
      <c r="C16" s="17">
        <v>777</v>
      </c>
      <c r="D16" s="17">
        <v>25115</v>
      </c>
      <c r="E16" s="17">
        <v>25892</v>
      </c>
      <c r="F16" s="17">
        <v>19838</v>
      </c>
      <c r="G16" s="18">
        <f>IF(AND(F70&lt;&gt;0,19838&lt;&gt;0),IF(100*19838/(F70-0)&lt;0.005,"*",100*19838/(F70-0)),0)</f>
        <v>2.2980995904938979</v>
      </c>
    </row>
    <row r="17" spans="1:7" x14ac:dyDescent="0.2">
      <c r="A17" s="11" t="s">
        <v>122</v>
      </c>
      <c r="B17" s="17">
        <v>11336</v>
      </c>
      <c r="C17" s="17">
        <v>330</v>
      </c>
      <c r="D17" s="17">
        <v>10658</v>
      </c>
      <c r="E17" s="17">
        <v>10988</v>
      </c>
      <c r="F17" s="17">
        <v>8418</v>
      </c>
      <c r="G17" s="18">
        <f>IF(AND(F70&lt;&gt;0,8418&lt;&gt;0),IF(100*8418/(F70-0)&lt;0.005,"*",100*8418/(F70-0)),0)</f>
        <v>0.97516898642895622</v>
      </c>
    </row>
    <row r="18" spans="1:7" x14ac:dyDescent="0.2">
      <c r="A18" s="11" t="s">
        <v>123</v>
      </c>
      <c r="B18" s="17">
        <v>11004</v>
      </c>
      <c r="C18" s="17">
        <v>330</v>
      </c>
      <c r="D18" s="17">
        <v>10658</v>
      </c>
      <c r="E18" s="17">
        <v>10988</v>
      </c>
      <c r="F18" s="17">
        <v>8418</v>
      </c>
      <c r="G18" s="18">
        <f>IF(AND(F70&lt;&gt;0,8418&lt;&gt;0),IF(100*8418/(F70-0)&lt;0.005,"*",100*8418/(F70-0)),0)</f>
        <v>0.97516898642895622</v>
      </c>
    </row>
    <row r="19" spans="1:7" x14ac:dyDescent="0.2">
      <c r="A19" s="11" t="s">
        <v>124</v>
      </c>
      <c r="B19" s="17">
        <v>41516</v>
      </c>
      <c r="C19" s="17">
        <v>1244</v>
      </c>
      <c r="D19" s="17">
        <v>40211</v>
      </c>
      <c r="E19" s="17">
        <v>41455</v>
      </c>
      <c r="F19" s="17">
        <v>31761</v>
      </c>
      <c r="G19" s="18">
        <f>IF(AND(F70&lt;&gt;0,31761&lt;&gt;0),IF(100*31761/(F70-0)&lt;0.005,"*",100*31761/(F70-0)),0)</f>
        <v>3.6792993796590729</v>
      </c>
    </row>
    <row r="20" spans="1:7" x14ac:dyDescent="0.2">
      <c r="A20" s="11" t="s">
        <v>125</v>
      </c>
      <c r="B20" s="17">
        <v>16819</v>
      </c>
      <c r="C20" s="17">
        <v>504</v>
      </c>
      <c r="D20" s="17">
        <v>16291</v>
      </c>
      <c r="E20" s="17">
        <v>16795</v>
      </c>
      <c r="F20" s="17">
        <v>12867</v>
      </c>
      <c r="G20" s="18">
        <f>IF(AND(F70&lt;&gt;0,12867&lt;&gt;0),IF(100*12867/(F70-0)&lt;0.005,"*",100*12867/(F70-0)),0)</f>
        <v>1.490555874124659</v>
      </c>
    </row>
    <row r="21" spans="1:7" x14ac:dyDescent="0.2">
      <c r="A21" s="11" t="s">
        <v>126</v>
      </c>
      <c r="B21" s="17">
        <v>17349</v>
      </c>
      <c r="C21" s="17">
        <v>522</v>
      </c>
      <c r="D21" s="17">
        <v>16885</v>
      </c>
      <c r="E21" s="17">
        <v>17407</v>
      </c>
      <c r="F21" s="17">
        <v>13336</v>
      </c>
      <c r="G21" s="18">
        <f>IF(AND(F70&lt;&gt;0,13336&lt;&gt;0),IF(100*13336/(F70-0)&lt;0.005,"*",100*13336/(F70-0)),0)</f>
        <v>1.5448863866733855</v>
      </c>
    </row>
    <row r="22" spans="1:7" x14ac:dyDescent="0.2">
      <c r="A22" s="11" t="s">
        <v>127</v>
      </c>
      <c r="B22" s="17">
        <v>12766</v>
      </c>
      <c r="C22" s="17">
        <v>382</v>
      </c>
      <c r="D22" s="17">
        <v>12366</v>
      </c>
      <c r="E22" s="17">
        <v>12748</v>
      </c>
      <c r="F22" s="17">
        <v>9767</v>
      </c>
      <c r="G22" s="18">
        <f>IF(AND(F70&lt;&gt;0,9767&lt;&gt;0),IF(100*9767/(F70-0)&lt;0.005,"*",100*9767/(F70-0)),0)</f>
        <v>1.1314416120755066</v>
      </c>
    </row>
    <row r="23" spans="1:7" x14ac:dyDescent="0.2">
      <c r="A23" s="11" t="s">
        <v>128</v>
      </c>
      <c r="B23" s="17">
        <v>18132</v>
      </c>
      <c r="C23" s="17">
        <v>543</v>
      </c>
      <c r="D23" s="17">
        <v>17563</v>
      </c>
      <c r="E23" s="17">
        <v>18106</v>
      </c>
      <c r="F23" s="17">
        <v>13872</v>
      </c>
      <c r="G23" s="18">
        <f>IF(AND(F70&lt;&gt;0,13872&lt;&gt;0),IF(100*13872/(F70-0)&lt;0.005,"*",100*13872/(F70-0)),0)</f>
        <v>1.6069784010147874</v>
      </c>
    </row>
    <row r="24" spans="1:7" x14ac:dyDescent="0.2">
      <c r="A24" s="11" t="s">
        <v>129</v>
      </c>
      <c r="B24" s="17">
        <v>16470</v>
      </c>
      <c r="C24" s="17">
        <v>493</v>
      </c>
      <c r="D24" s="17">
        <v>15953</v>
      </c>
      <c r="E24" s="17">
        <v>16446</v>
      </c>
      <c r="F24" s="17">
        <v>12600</v>
      </c>
      <c r="G24" s="18">
        <f>IF(AND(F70&lt;&gt;0,12600&lt;&gt;0),IF(100*12600/(F70-0)&lt;0.005,"*",100*12600/(F70-0)),0)</f>
        <v>1.4596257102642964</v>
      </c>
    </row>
    <row r="25" spans="1:7" x14ac:dyDescent="0.2">
      <c r="A25" s="11" t="s">
        <v>130</v>
      </c>
      <c r="B25" s="17">
        <v>11004</v>
      </c>
      <c r="C25" s="17">
        <v>330</v>
      </c>
      <c r="D25" s="17">
        <v>10658</v>
      </c>
      <c r="E25" s="17">
        <v>10988</v>
      </c>
      <c r="F25" s="17">
        <v>8418</v>
      </c>
      <c r="G25" s="18">
        <f>IF(AND(F70&lt;&gt;0,8418&lt;&gt;0),IF(100*8418/(F70-0)&lt;0.005,"*",100*8418/(F70-0)),0)</f>
        <v>0.97516898642895622</v>
      </c>
    </row>
    <row r="26" spans="1:7" x14ac:dyDescent="0.2">
      <c r="A26" s="11" t="s">
        <v>131</v>
      </c>
      <c r="B26" s="17">
        <v>20158</v>
      </c>
      <c r="C26" s="17">
        <v>604</v>
      </c>
      <c r="D26" s="17">
        <v>19524</v>
      </c>
      <c r="E26" s="17">
        <v>20128</v>
      </c>
      <c r="F26" s="17">
        <v>15421</v>
      </c>
      <c r="G26" s="18">
        <f>IF(AND(F70&lt;&gt;0,15421&lt;&gt;0),IF(100*15421/(F70-0)&lt;0.005,"*",100*15421/(F70-0)),0)</f>
        <v>1.7864196887290251</v>
      </c>
    </row>
    <row r="27" spans="1:7" x14ac:dyDescent="0.2">
      <c r="A27" s="11" t="s">
        <v>132</v>
      </c>
      <c r="B27" s="17">
        <v>25533</v>
      </c>
      <c r="C27" s="17">
        <v>765</v>
      </c>
      <c r="D27" s="17">
        <v>24730</v>
      </c>
      <c r="E27" s="17">
        <v>25495</v>
      </c>
      <c r="F27" s="17">
        <v>19533</v>
      </c>
      <c r="G27" s="18">
        <f>IF(AND(F70&lt;&gt;0,19533&lt;&gt;0),IF(100*19533/(F70-0)&lt;0.005,"*",100*19533/(F70-0)),0)</f>
        <v>2.2627673808406747</v>
      </c>
    </row>
    <row r="28" spans="1:7" x14ac:dyDescent="0.2">
      <c r="A28" s="11" t="s">
        <v>133</v>
      </c>
      <c r="B28" s="17">
        <v>26939</v>
      </c>
      <c r="C28" s="17">
        <v>809</v>
      </c>
      <c r="D28" s="17">
        <v>26163</v>
      </c>
      <c r="E28" s="17">
        <v>26972</v>
      </c>
      <c r="F28" s="17">
        <v>20665</v>
      </c>
      <c r="G28" s="18">
        <f>IF(AND(F70&lt;&gt;0,20665&lt;&gt;0),IF(100*20665/(F70-0)&lt;0.005,"*",100*20665/(F70-0)),0)</f>
        <v>2.3939020081437845</v>
      </c>
    </row>
    <row r="29" spans="1:7" x14ac:dyDescent="0.2">
      <c r="A29" s="11" t="s">
        <v>134</v>
      </c>
      <c r="B29" s="17">
        <v>16797</v>
      </c>
      <c r="C29" s="17">
        <v>503</v>
      </c>
      <c r="D29" s="17">
        <v>16269</v>
      </c>
      <c r="E29" s="17">
        <v>16772</v>
      </c>
      <c r="F29" s="17">
        <v>12850</v>
      </c>
      <c r="G29" s="18">
        <f>IF(AND(F70&lt;&gt;0,12850&lt;&gt;0),IF(100*12850/(F70-0)&lt;0.005,"*",100*12850/(F70-0)),0)</f>
        <v>1.4885865378489056</v>
      </c>
    </row>
    <row r="30" spans="1:7" x14ac:dyDescent="0.2">
      <c r="A30" s="11" t="s">
        <v>135</v>
      </c>
      <c r="B30" s="17">
        <v>11845</v>
      </c>
      <c r="C30" s="17">
        <v>355</v>
      </c>
      <c r="D30" s="17">
        <v>11473</v>
      </c>
      <c r="E30" s="17">
        <v>11828</v>
      </c>
      <c r="F30" s="17">
        <v>9062</v>
      </c>
      <c r="G30" s="18">
        <f>IF(AND(F70&lt;&gt;0,9062&lt;&gt;0),IF(100*9062/(F70-0)&lt;0.005,"*",100*9062/(F70-0)),0)</f>
        <v>1.0497720782869091</v>
      </c>
    </row>
    <row r="31" spans="1:7" x14ac:dyDescent="0.2">
      <c r="A31" s="11" t="s">
        <v>136</v>
      </c>
      <c r="B31" s="17">
        <v>19399</v>
      </c>
      <c r="C31" s="17">
        <v>581</v>
      </c>
      <c r="D31" s="17">
        <v>18790</v>
      </c>
      <c r="E31" s="17">
        <v>19371</v>
      </c>
      <c r="F31" s="17">
        <v>14841</v>
      </c>
      <c r="G31" s="18">
        <f>IF(AND(F70&lt;&gt;0,14841&lt;&gt;0),IF(100*14841/(F70-0)&lt;0.005,"*",100*14841/(F70-0)),0)</f>
        <v>1.7192305687327321</v>
      </c>
    </row>
    <row r="32" spans="1:7" x14ac:dyDescent="0.2">
      <c r="A32" s="11" t="s">
        <v>137</v>
      </c>
      <c r="B32" s="17">
        <v>11004</v>
      </c>
      <c r="C32" s="17">
        <v>330</v>
      </c>
      <c r="D32" s="17">
        <v>10658</v>
      </c>
      <c r="E32" s="17">
        <v>10988</v>
      </c>
      <c r="F32" s="17">
        <v>8418</v>
      </c>
      <c r="G32" s="18">
        <f>IF(AND(F70&lt;&gt;0,8418&lt;&gt;0),IF(100*8418/(F70-0)&lt;0.005,"*",100*8418/(F70-0)),0)</f>
        <v>0.97516898642895622</v>
      </c>
    </row>
    <row r="33" spans="1:7" x14ac:dyDescent="0.2">
      <c r="A33" s="11" t="s">
        <v>138</v>
      </c>
      <c r="B33" s="17">
        <v>11004</v>
      </c>
      <c r="C33" s="17">
        <v>330</v>
      </c>
      <c r="D33" s="17">
        <v>10658</v>
      </c>
      <c r="E33" s="17">
        <v>10988</v>
      </c>
      <c r="F33" s="17">
        <v>8418</v>
      </c>
      <c r="G33" s="18">
        <f>IF(AND(F70&lt;&gt;0,8418&lt;&gt;0),IF(100*8418/(F70-0)&lt;0.005,"*",100*8418/(F70-0)),0)</f>
        <v>0.97516898642895622</v>
      </c>
    </row>
    <row r="34" spans="1:7" x14ac:dyDescent="0.2">
      <c r="A34" s="11" t="s">
        <v>139</v>
      </c>
      <c r="B34" s="17">
        <v>12756</v>
      </c>
      <c r="C34" s="17">
        <v>382</v>
      </c>
      <c r="D34" s="17">
        <v>12355</v>
      </c>
      <c r="E34" s="17">
        <v>12737</v>
      </c>
      <c r="F34" s="17">
        <v>9758</v>
      </c>
      <c r="G34" s="18">
        <f>IF(AND(F70&lt;&gt;0,9758&lt;&gt;0),IF(100*9758/(F70-0)&lt;0.005,"*",100*9758/(F70-0)),0)</f>
        <v>1.1303990222824607</v>
      </c>
    </row>
    <row r="35" spans="1:7" x14ac:dyDescent="0.2">
      <c r="A35" s="11" t="s">
        <v>140</v>
      </c>
      <c r="B35" s="17">
        <v>11004</v>
      </c>
      <c r="C35" s="17">
        <v>330</v>
      </c>
      <c r="D35" s="17">
        <v>10658</v>
      </c>
      <c r="E35" s="17">
        <v>10988</v>
      </c>
      <c r="F35" s="17">
        <v>8418</v>
      </c>
      <c r="G35" s="18">
        <f>IF(AND(F70&lt;&gt;0,8418&lt;&gt;0),IF(100*8418/(F70-0)&lt;0.005,"*",100*8418/(F70-0)),0)</f>
        <v>0.97516898642895622</v>
      </c>
    </row>
    <row r="36" spans="1:7" x14ac:dyDescent="0.2">
      <c r="A36" s="11" t="s">
        <v>141</v>
      </c>
      <c r="B36" s="17">
        <v>18780</v>
      </c>
      <c r="C36" s="17">
        <v>563</v>
      </c>
      <c r="D36" s="17">
        <v>18189</v>
      </c>
      <c r="E36" s="17">
        <v>18752</v>
      </c>
      <c r="F36" s="17">
        <v>14367</v>
      </c>
      <c r="G36" s="18">
        <f>IF(AND(F70&lt;&gt;0,14367&lt;&gt;0),IF(100*14367/(F70-0)&lt;0.005,"*",100*14367/(F70-0)),0)</f>
        <v>1.6643208396323133</v>
      </c>
    </row>
    <row r="37" spans="1:7" x14ac:dyDescent="0.2">
      <c r="A37" s="11" t="s">
        <v>142</v>
      </c>
      <c r="B37" s="17">
        <v>12749</v>
      </c>
      <c r="C37" s="17">
        <v>330</v>
      </c>
      <c r="D37" s="17">
        <v>10658</v>
      </c>
      <c r="E37" s="17">
        <v>10988</v>
      </c>
      <c r="F37" s="17">
        <v>8418</v>
      </c>
      <c r="G37" s="18">
        <f>IF(AND(F70&lt;&gt;0,8418&lt;&gt;0),IF(100*8418/(F70-0)&lt;0.005,"*",100*8418/(F70-0)),0)</f>
        <v>0.97516898642895622</v>
      </c>
    </row>
    <row r="38" spans="1:7" x14ac:dyDescent="0.2">
      <c r="A38" s="11" t="s">
        <v>143</v>
      </c>
      <c r="B38" s="17">
        <v>44938</v>
      </c>
      <c r="C38" s="17">
        <v>1346</v>
      </c>
      <c r="D38" s="17">
        <v>43526</v>
      </c>
      <c r="E38" s="17">
        <v>44872</v>
      </c>
      <c r="F38" s="17">
        <v>34380</v>
      </c>
      <c r="G38" s="18">
        <f>IF(AND(F70&lt;&gt;0,34380&lt;&gt;0),IF(100*34380/(F70-0)&lt;0.005,"*",100*34380/(F70-0)),0)</f>
        <v>3.9826930094354376</v>
      </c>
    </row>
    <row r="39" spans="1:7" x14ac:dyDescent="0.2">
      <c r="A39" s="11" t="s">
        <v>144</v>
      </c>
      <c r="B39" s="17">
        <v>33792</v>
      </c>
      <c r="C39" s="17">
        <v>1012</v>
      </c>
      <c r="D39" s="17">
        <v>32730</v>
      </c>
      <c r="E39" s="17">
        <v>33742</v>
      </c>
      <c r="F39" s="17">
        <v>25852</v>
      </c>
      <c r="G39" s="18">
        <f>IF(AND(F70&lt;&gt;0,25852&lt;&gt;0),IF(100*25852/(F70-0)&lt;0.005,"*",100*25852/(F70-0)),0)</f>
        <v>2.9947812588692533</v>
      </c>
    </row>
    <row r="40" spans="1:7" x14ac:dyDescent="0.2">
      <c r="A40" s="11" t="s">
        <v>145</v>
      </c>
      <c r="B40" s="17">
        <v>11004</v>
      </c>
      <c r="C40" s="17">
        <v>330</v>
      </c>
      <c r="D40" s="17">
        <v>10658</v>
      </c>
      <c r="E40" s="17">
        <v>10988</v>
      </c>
      <c r="F40" s="17">
        <v>8418</v>
      </c>
      <c r="G40" s="18">
        <f>IF(AND(F70&lt;&gt;0,8418&lt;&gt;0),IF(100*8418/(F70-0)&lt;0.005,"*",100*8418/(F70-0)),0)</f>
        <v>0.97516898642895622</v>
      </c>
    </row>
    <row r="41" spans="1:7" x14ac:dyDescent="0.2">
      <c r="A41" s="11" t="s">
        <v>146</v>
      </c>
      <c r="B41" s="17">
        <v>27674</v>
      </c>
      <c r="C41" s="17">
        <v>829</v>
      </c>
      <c r="D41" s="17">
        <v>26804</v>
      </c>
      <c r="E41" s="17">
        <v>27633</v>
      </c>
      <c r="F41" s="17">
        <v>21172</v>
      </c>
      <c r="G41" s="18">
        <f>IF(AND(F70&lt;&gt;0,21172&lt;&gt;0),IF(100*21172/(F70-0)&lt;0.005,"*",100*21172/(F70-0)),0)</f>
        <v>2.4526345664853717</v>
      </c>
    </row>
    <row r="42" spans="1:7" x14ac:dyDescent="0.2">
      <c r="A42" s="11" t="s">
        <v>147</v>
      </c>
      <c r="B42" s="17">
        <v>16027</v>
      </c>
      <c r="C42" s="17">
        <v>467</v>
      </c>
      <c r="D42" s="17">
        <v>15110</v>
      </c>
      <c r="E42" s="17">
        <v>15577</v>
      </c>
      <c r="F42" s="17">
        <v>11934</v>
      </c>
      <c r="G42" s="18">
        <f>IF(AND(F70&lt;&gt;0,11934&lt;&gt;0),IF(100*11934/(F70-0)&lt;0.005,"*",100*11934/(F70-0)),0)</f>
        <v>1.3824740655788981</v>
      </c>
    </row>
    <row r="43" spans="1:7" x14ac:dyDescent="0.2">
      <c r="A43" s="11" t="s">
        <v>148</v>
      </c>
      <c r="B43" s="17">
        <v>14478</v>
      </c>
      <c r="C43" s="17">
        <v>434</v>
      </c>
      <c r="D43" s="17">
        <v>14022</v>
      </c>
      <c r="E43" s="17">
        <v>14456</v>
      </c>
      <c r="F43" s="17">
        <v>11076</v>
      </c>
      <c r="G43" s="18">
        <f>IF(AND(F70&lt;&gt;0,11076&lt;&gt;0),IF(100*11076/(F70-0)&lt;0.005,"*",100*11076/(F70-0)),0)</f>
        <v>1.2830805053085197</v>
      </c>
    </row>
    <row r="44" spans="1:7" x14ac:dyDescent="0.2">
      <c r="A44" s="11" t="s">
        <v>149</v>
      </c>
      <c r="B44" s="17">
        <v>33883</v>
      </c>
      <c r="C44" s="17">
        <v>1015</v>
      </c>
      <c r="D44" s="17">
        <v>32818</v>
      </c>
      <c r="E44" s="17">
        <v>33833</v>
      </c>
      <c r="F44" s="17">
        <v>25921</v>
      </c>
      <c r="G44" s="18">
        <f>IF(AND(F70&lt;&gt;0,25921&lt;&gt;0),IF(100*25921/(F70-0)&lt;0.005,"*",100*25921/(F70-0)),0)</f>
        <v>3.0027744472826057</v>
      </c>
    </row>
    <row r="45" spans="1:7" x14ac:dyDescent="0.2">
      <c r="A45" s="11" t="s">
        <v>150</v>
      </c>
      <c r="B45" s="17">
        <v>11004</v>
      </c>
      <c r="C45" s="17">
        <v>330</v>
      </c>
      <c r="D45" s="17">
        <v>10658</v>
      </c>
      <c r="E45" s="17">
        <v>10988</v>
      </c>
      <c r="F45" s="17">
        <v>8418</v>
      </c>
      <c r="G45" s="18">
        <f>IF(AND(F70&lt;&gt;0,8418&lt;&gt;0),IF(100*8418/(F70-0)&lt;0.005,"*",100*8418/(F70-0)),0)</f>
        <v>0.97516898642895622</v>
      </c>
    </row>
    <row r="46" spans="1:7" x14ac:dyDescent="0.2">
      <c r="A46" s="11" t="s">
        <v>151</v>
      </c>
      <c r="B46" s="17">
        <v>14231</v>
      </c>
      <c r="C46" s="17">
        <v>427</v>
      </c>
      <c r="D46" s="17">
        <v>13803</v>
      </c>
      <c r="E46" s="17">
        <v>14230</v>
      </c>
      <c r="F46" s="17">
        <v>10902</v>
      </c>
      <c r="G46" s="18">
        <f>IF(AND(F70&lt;&gt;0,10902&lt;&gt;0),IF(100*10902/(F70-0)&lt;0.005,"*",100*10902/(F70-0)),0)</f>
        <v>1.2629237693096318</v>
      </c>
    </row>
    <row r="47" spans="1:7" x14ac:dyDescent="0.2">
      <c r="A47" s="11" t="s">
        <v>152</v>
      </c>
      <c r="B47" s="17">
        <v>11004</v>
      </c>
      <c r="C47" s="17">
        <v>330</v>
      </c>
      <c r="D47" s="17">
        <v>10658</v>
      </c>
      <c r="E47" s="17">
        <v>10988</v>
      </c>
      <c r="F47" s="17">
        <v>8418</v>
      </c>
      <c r="G47" s="18">
        <f>IF(AND(F70&lt;&gt;0,8418&lt;&gt;0),IF(100*8418/(F70-0)&lt;0.005,"*",100*8418/(F70-0)),0)</f>
        <v>0.97516898642895622</v>
      </c>
    </row>
    <row r="48" spans="1:7" x14ac:dyDescent="0.2">
      <c r="A48" s="11" t="s">
        <v>153</v>
      </c>
      <c r="B48" s="17">
        <v>19113</v>
      </c>
      <c r="C48" s="17">
        <v>573</v>
      </c>
      <c r="D48" s="17">
        <v>18512</v>
      </c>
      <c r="E48" s="17">
        <v>19085</v>
      </c>
      <c r="F48" s="17">
        <v>14622</v>
      </c>
      <c r="G48" s="18">
        <f>IF(AND(F70&lt;&gt;0,14622&lt;&gt;0),IF(100*14622/(F70-0)&lt;0.005,"*",100*14622/(F70-0)),0)</f>
        <v>1.6938608837686147</v>
      </c>
    </row>
    <row r="49" spans="1:7" x14ac:dyDescent="0.2">
      <c r="A49" s="11" t="s">
        <v>154</v>
      </c>
      <c r="B49" s="17">
        <v>86205</v>
      </c>
      <c r="C49" s="17">
        <v>2583</v>
      </c>
      <c r="D49" s="17">
        <v>83515</v>
      </c>
      <c r="E49" s="17">
        <v>86098</v>
      </c>
      <c r="F49" s="17">
        <v>65966</v>
      </c>
      <c r="G49" s="18">
        <f>IF(AND(F70&lt;&gt;0,65966&lt;&gt;0),IF(100*65966/(F70-0)&lt;0.005,"*",100*65966/(F70-0)),0)</f>
        <v>7.6417198097852843</v>
      </c>
    </row>
    <row r="50" spans="1:7" x14ac:dyDescent="0.2">
      <c r="A50" s="11" t="s">
        <v>155</v>
      </c>
      <c r="B50" s="17">
        <v>11004</v>
      </c>
      <c r="C50" s="17">
        <v>330</v>
      </c>
      <c r="D50" s="17">
        <v>10658</v>
      </c>
      <c r="E50" s="17">
        <v>10988</v>
      </c>
      <c r="F50" s="17">
        <v>8418</v>
      </c>
      <c r="G50" s="18">
        <f>IF(AND(F70&lt;&gt;0,8418&lt;&gt;0),IF(100*8418/(F70-0)&lt;0.005,"*",100*8418/(F70-0)),0)</f>
        <v>0.97516898642895622</v>
      </c>
    </row>
    <row r="51" spans="1:7" x14ac:dyDescent="0.2">
      <c r="A51" s="11" t="s">
        <v>156</v>
      </c>
      <c r="B51" s="17">
        <v>11004</v>
      </c>
      <c r="C51" s="17">
        <v>330</v>
      </c>
      <c r="D51" s="17">
        <v>10658</v>
      </c>
      <c r="E51" s="17">
        <v>10988</v>
      </c>
      <c r="F51" s="17">
        <v>8418</v>
      </c>
      <c r="G51" s="18">
        <f>IF(AND(F70&lt;&gt;0,8418&lt;&gt;0),IF(100*8418/(F70-0)&lt;0.005,"*",100*8418/(F70-0)),0)</f>
        <v>0.97516898642895622</v>
      </c>
    </row>
    <row r="52" spans="1:7" x14ac:dyDescent="0.2">
      <c r="A52" s="11" t="s">
        <v>157</v>
      </c>
      <c r="B52" s="17">
        <v>17954</v>
      </c>
      <c r="C52" s="17">
        <v>538</v>
      </c>
      <c r="D52" s="17">
        <v>17389</v>
      </c>
      <c r="E52" s="17">
        <v>17927</v>
      </c>
      <c r="F52" s="17">
        <v>13735</v>
      </c>
      <c r="G52" s="18">
        <f>IF(AND(F70&lt;&gt;0,13735&lt;&gt;0),IF(100*13735/(F70-0)&lt;0.005,"*",100*13735/(F70-0)),0)</f>
        <v>1.5911078674984216</v>
      </c>
    </row>
    <row r="53" spans="1:7" x14ac:dyDescent="0.2">
      <c r="A53" s="11" t="s">
        <v>158</v>
      </c>
      <c r="B53" s="17">
        <v>24583</v>
      </c>
      <c r="C53" s="17">
        <v>736</v>
      </c>
      <c r="D53" s="17">
        <v>23811</v>
      </c>
      <c r="E53" s="17">
        <v>24547</v>
      </c>
      <c r="F53" s="17">
        <v>18807</v>
      </c>
      <c r="G53" s="18">
        <f>IF(AND(F70&lt;&gt;0,18807&lt;&gt;0),IF(100*18807/(F70-0)&lt;0.005,"*",100*18807/(F70-0)),0)</f>
        <v>2.1786651375349702</v>
      </c>
    </row>
    <row r="54" spans="1:7" x14ac:dyDescent="0.2">
      <c r="A54" s="11" t="s">
        <v>159</v>
      </c>
      <c r="B54" s="17">
        <v>11007</v>
      </c>
      <c r="C54" s="17">
        <v>330</v>
      </c>
      <c r="D54" s="17">
        <v>10658</v>
      </c>
      <c r="E54" s="17">
        <v>10988</v>
      </c>
      <c r="F54" s="17">
        <v>8418</v>
      </c>
      <c r="G54" s="18">
        <f>IF(AND(F70&lt;&gt;0,8418&lt;&gt;0),IF(100*8418/(F70-0)&lt;0.005,"*",100*8418/(F70-0)),0)</f>
        <v>0.97516898642895622</v>
      </c>
    </row>
    <row r="55" spans="1:7" x14ac:dyDescent="0.2">
      <c r="A55" s="11" t="s">
        <v>160</v>
      </c>
      <c r="B55" s="17">
        <v>18754</v>
      </c>
      <c r="C55" s="17">
        <v>562</v>
      </c>
      <c r="D55" s="17">
        <v>18165</v>
      </c>
      <c r="E55" s="17">
        <v>18727</v>
      </c>
      <c r="F55" s="17">
        <v>14348</v>
      </c>
      <c r="G55" s="18">
        <f>IF(AND(F70&lt;&gt;0,14348&lt;&gt;0),IF(100*14348/(F70-0)&lt;0.005,"*",100*14348/(F70-0)),0)</f>
        <v>1.662119816735883</v>
      </c>
    </row>
    <row r="56" spans="1:7" x14ac:dyDescent="0.2">
      <c r="A56" s="11" t="s">
        <v>161</v>
      </c>
      <c r="B56" s="17">
        <v>11004</v>
      </c>
      <c r="C56" s="17">
        <v>330</v>
      </c>
      <c r="D56" s="17">
        <v>10658</v>
      </c>
      <c r="E56" s="17">
        <v>10988</v>
      </c>
      <c r="F56" s="17">
        <v>8418</v>
      </c>
      <c r="G56" s="18">
        <f>IF(AND(F70&lt;&gt;0,8418&lt;&gt;0),IF(100*8418/(F70-0)&lt;0.005,"*",100*8418/(F70-0)),0)</f>
        <v>0.97516898642895622</v>
      </c>
    </row>
    <row r="57" spans="1:7" x14ac:dyDescent="0.2">
      <c r="A57" s="11" t="s">
        <v>162</v>
      </c>
      <c r="B57" s="17">
        <v>4145</v>
      </c>
      <c r="C57" s="17">
        <v>124</v>
      </c>
      <c r="D57" s="17">
        <v>4015</v>
      </c>
      <c r="E57" s="17">
        <v>4139</v>
      </c>
      <c r="F57" s="17">
        <v>3171</v>
      </c>
      <c r="G57" s="18">
        <f>IF(AND(F70&lt;&gt;0,3171&lt;&gt;0),IF(100*3171/(F70-0)&lt;0.005,"*",100*3171/(F70-0)),0)</f>
        <v>0.36733913708318128</v>
      </c>
    </row>
    <row r="58" spans="1:7" x14ac:dyDescent="0.2">
      <c r="A58" s="11" t="s">
        <v>163</v>
      </c>
      <c r="B58" s="17">
        <v>3853</v>
      </c>
      <c r="C58" s="17">
        <v>115</v>
      </c>
      <c r="D58" s="17">
        <v>3732</v>
      </c>
      <c r="E58" s="17">
        <v>3847</v>
      </c>
      <c r="F58" s="17">
        <v>2947</v>
      </c>
      <c r="G58" s="18">
        <f>IF(AND(F70&lt;&gt;0,2947&lt;&gt;0),IF(100*2947/(F70-0)&lt;0.005,"*",100*2947/(F70-0)),0)</f>
        <v>0.34139023556737158</v>
      </c>
    </row>
    <row r="59" spans="1:7" x14ac:dyDescent="0.2">
      <c r="A59" s="11" t="s">
        <v>164</v>
      </c>
      <c r="B59" s="17">
        <v>3245</v>
      </c>
      <c r="C59" s="17">
        <v>97</v>
      </c>
      <c r="D59" s="17">
        <v>3143</v>
      </c>
      <c r="E59" s="17">
        <v>3240</v>
      </c>
      <c r="F59" s="17">
        <v>2482</v>
      </c>
      <c r="G59" s="18">
        <f>IF(AND(F70&lt;&gt;0,2482&lt;&gt;0),IF(100*2482/(F70-0)&lt;0.005,"*",100*2482/(F70-0)),0)</f>
        <v>0.28752309625999872</v>
      </c>
    </row>
    <row r="60" spans="1:7" x14ac:dyDescent="0.2">
      <c r="A60" s="11" t="s">
        <v>165</v>
      </c>
      <c r="B60" s="17">
        <v>11107</v>
      </c>
      <c r="C60" s="17">
        <v>330</v>
      </c>
      <c r="D60" s="17">
        <v>10658</v>
      </c>
      <c r="E60" s="17">
        <v>10988</v>
      </c>
      <c r="F60" s="17">
        <v>8418</v>
      </c>
      <c r="G60" s="18">
        <f>IF(AND(F70&lt;&gt;0,8418&lt;&gt;0),IF(100*8418/(F70-0)&lt;0.005,"*",100*8418/(F70-0)),0)</f>
        <v>0.97516898642895622</v>
      </c>
    </row>
    <row r="61" spans="1:7" x14ac:dyDescent="0.2">
      <c r="A61" s="11" t="s">
        <v>166</v>
      </c>
      <c r="B61" s="17">
        <v>0</v>
      </c>
      <c r="C61" s="17">
        <v>0</v>
      </c>
      <c r="D61" s="17">
        <v>0</v>
      </c>
      <c r="E61" s="17">
        <v>0</v>
      </c>
      <c r="F61" s="17">
        <v>0</v>
      </c>
      <c r="G61" s="18">
        <f>IF(AND(F70&lt;&gt;0,0&lt;&gt;0),IF(100*0/(F70-0)&lt;0.005,"*",100*0/(F70-0)),0)</f>
        <v>0</v>
      </c>
    </row>
    <row r="62" spans="1:7" x14ac:dyDescent="0.2">
      <c r="A62" s="11" t="s">
        <v>167</v>
      </c>
      <c r="B62" s="17">
        <v>5312</v>
      </c>
      <c r="C62" s="17">
        <v>158</v>
      </c>
      <c r="D62" s="17">
        <v>5096</v>
      </c>
      <c r="E62" s="17">
        <v>5254</v>
      </c>
      <c r="F62" s="17">
        <v>4026</v>
      </c>
      <c r="G62" s="18">
        <f>IF(AND(F70&lt;&gt;0,4026&lt;&gt;0),IF(100*4026/(F70-0)&lt;0.005,"*",100*4026/(F70-0)),0)</f>
        <v>0.46638516742254427</v>
      </c>
    </row>
    <row r="63" spans="1:7" x14ac:dyDescent="0.2">
      <c r="A63" s="11" t="s">
        <v>168</v>
      </c>
      <c r="B63" s="17">
        <v>15262</v>
      </c>
      <c r="C63" s="17">
        <v>676</v>
      </c>
      <c r="D63" s="17">
        <v>21846</v>
      </c>
      <c r="E63" s="17">
        <v>22522</v>
      </c>
      <c r="F63" s="17">
        <v>17266</v>
      </c>
      <c r="G63" s="18">
        <f>IF(AND(F70&lt;&gt;0,17266&lt;&gt;0),IF(100*17266/(F70-0)&lt;0.005,"*",100*17266/(F70-0)),0)</f>
        <v>2.0001505963034401</v>
      </c>
    </row>
    <row r="64" spans="1:7" x14ac:dyDescent="0.2">
      <c r="A64" s="11" t="s">
        <v>169</v>
      </c>
      <c r="B64" s="17">
        <v>0</v>
      </c>
      <c r="C64" s="17">
        <v>0</v>
      </c>
      <c r="D64" s="17">
        <v>0</v>
      </c>
      <c r="E64" s="17">
        <v>0</v>
      </c>
      <c r="F64" s="17">
        <v>0</v>
      </c>
      <c r="G64" s="18">
        <v>0</v>
      </c>
    </row>
    <row r="65" spans="1:7" ht="25.5" x14ac:dyDescent="0.2">
      <c r="A65" s="11" t="s">
        <v>410</v>
      </c>
      <c r="B65" s="22" t="s">
        <v>423</v>
      </c>
      <c r="C65" s="17">
        <v>84</v>
      </c>
      <c r="D65" s="17">
        <v>2731</v>
      </c>
      <c r="E65" s="17">
        <v>2815</v>
      </c>
      <c r="F65" s="17">
        <v>2158</v>
      </c>
      <c r="G65" s="18">
        <f>IF(AND(F70&lt;&gt;0,2158&lt;&gt;0),IF(100*2158/(F70-0)&lt;0.005,"*",100*2158/(F70-0)),0)</f>
        <v>0.2499898637103454</v>
      </c>
    </row>
    <row r="66" spans="1:7" ht="15" x14ac:dyDescent="0.2">
      <c r="A66" s="11" t="s">
        <v>424</v>
      </c>
      <c r="B66" s="22" t="s">
        <v>425</v>
      </c>
      <c r="C66" s="17">
        <v>60</v>
      </c>
      <c r="D66" s="17">
        <v>1940</v>
      </c>
      <c r="E66" s="17">
        <v>2000</v>
      </c>
      <c r="F66" s="17">
        <v>2000</v>
      </c>
      <c r="G66" s="18">
        <f>IF(AND(F70&lt;&gt;0,2000&lt;&gt;0),IF(100*2000/(F70-0)&lt;0.005,"*",100*2000/(F70-0)),0)</f>
        <v>0.23168662067687246</v>
      </c>
    </row>
    <row r="67" spans="1:7" ht="15" x14ac:dyDescent="0.2">
      <c r="A67" s="11" t="s">
        <v>412</v>
      </c>
      <c r="B67" s="22" t="s">
        <v>426</v>
      </c>
      <c r="C67" s="17">
        <v>0</v>
      </c>
      <c r="D67" s="17">
        <v>0</v>
      </c>
      <c r="E67" s="17">
        <v>0</v>
      </c>
      <c r="F67" s="17">
        <v>0</v>
      </c>
      <c r="G67" s="18">
        <f>IF(AND(F70&lt;&gt;0,0&lt;&gt;0),IF(100*0/(F70-0)&lt;0.005,"*",100*0/(F70-0)),0)</f>
        <v>0</v>
      </c>
    </row>
    <row r="68" spans="1:7" ht="25.5" x14ac:dyDescent="0.2">
      <c r="A68" s="11" t="s">
        <v>414</v>
      </c>
      <c r="B68" s="22" t="s">
        <v>427</v>
      </c>
      <c r="C68" s="17">
        <v>0</v>
      </c>
      <c r="D68" s="17">
        <v>0</v>
      </c>
      <c r="E68" s="17">
        <v>0</v>
      </c>
      <c r="F68" s="17">
        <v>0</v>
      </c>
      <c r="G68" s="18">
        <f>IF(AND(F70&lt;&gt;0,0&lt;&gt;0),IF(100*0/(F70-0)&lt;0.005,"*",100*0/(F70-0)),0)</f>
        <v>0</v>
      </c>
    </row>
    <row r="69" spans="1:7" ht="15" x14ac:dyDescent="0.2">
      <c r="A69" s="11" t="s">
        <v>428</v>
      </c>
      <c r="B69" s="22" t="s">
        <v>429</v>
      </c>
      <c r="C69" s="17">
        <v>0</v>
      </c>
      <c r="D69" s="17">
        <v>0</v>
      </c>
      <c r="E69" s="17">
        <v>0</v>
      </c>
      <c r="F69" s="17">
        <v>0</v>
      </c>
      <c r="G69" s="18">
        <f>IF(AND(F70&lt;&gt;0,0&lt;&gt;0),IF(100*0/(F70-0)&lt;0.005,"*",100*0/(F70-0)),0)</f>
        <v>0</v>
      </c>
    </row>
    <row r="70" spans="1:7" ht="15" customHeight="1" x14ac:dyDescent="0.2">
      <c r="A70" s="19" t="s">
        <v>110</v>
      </c>
      <c r="B70" s="20">
        <f>23721+11004+24708+16555+100559+21741+11004+11004+11004+43187+25931+11336+11004+41516+16819+17349+12766+18132+16470+11004+20158+25533+26939+16797+11845+19399+11004+11004+12756+11004+18780+12749+44938+33792+11004+27674+16027+14478+33883+11004+14231+11004+19113+86205+11004+11004+17954+24583+11007+18754+11004+4145+3853+3245+11107+0+5312+15262+0+3055+2005+67+50+80+0</f>
        <v>1131626</v>
      </c>
      <c r="C70" s="20">
        <f>711+330+593+496+2908+651+330+330+330+1298+777+330+330+1244+504+522+382+543+493+330+604+765+809+503+355+581+330+330+382+330+563+330+1346+1012+330+829+467+434+1015+330+427+330+573+2583+330+330+538+736+330+562+330+124+115+97+330+0+158+676+0+84+60+0+0+0+0</f>
        <v>33790</v>
      </c>
      <c r="D70" s="20">
        <f>22975+10658+19167+16035+94021+21058+10658+10658+10658+41954+25115+10658+10658+40211+16291+16885+12366+17563+15953+10658+19524+24730+26163+16269+11473+18790+10658+10658+12355+10658+18189+10658+43526+32730+10658+26804+15110+14022+32818+10658+13803+10658+18512+83515+10658+10658+17389+23811+10658+18165+10658+4015+3732+3143+10658+0+5096+21846+0+2731+1940+0+0+0+0</f>
        <v>1092297</v>
      </c>
      <c r="E70" s="20">
        <f>SUM(C70:D70)</f>
        <v>1126087</v>
      </c>
      <c r="F70" s="20">
        <f>18147+8418+15140+12665+74266+16633+8418+8418+8418+33139+19838+8418+8418+31761+12867+13336+9767+13872+12600+8418+15421+19533+20665+12850+9062+14841+8418+8418+9758+8418+14367+8418+34380+25852+8418+21172+11934+11076+25921+8418+10902+8418+14622+65966+8418+8418+13735+18807+8418+14348+8418+3171+2947+2482+8418+0+4026+17266+0+2158+2000+0+0+0+0</f>
        <v>863235</v>
      </c>
      <c r="G70" s="21" t="s">
        <v>430</v>
      </c>
    </row>
    <row r="71" spans="1:7" ht="15" customHeight="1" x14ac:dyDescent="0.2">
      <c r="A71" s="74" t="s">
        <v>171</v>
      </c>
      <c r="B71" s="74"/>
      <c r="C71" s="74"/>
      <c r="D71" s="74"/>
      <c r="E71" s="74"/>
      <c r="F71" s="74"/>
      <c r="G71" s="74"/>
    </row>
    <row r="72" spans="1:7" ht="15" customHeight="1" x14ac:dyDescent="0.2">
      <c r="A72" s="67" t="s">
        <v>431</v>
      </c>
      <c r="B72" s="67"/>
      <c r="C72" s="67"/>
      <c r="D72" s="67"/>
      <c r="E72" s="67"/>
      <c r="F72" s="67"/>
      <c r="G72" s="67"/>
    </row>
    <row r="73" spans="1:7" ht="15" customHeight="1" x14ac:dyDescent="0.2">
      <c r="A73" s="67" t="s">
        <v>432</v>
      </c>
      <c r="B73" s="67"/>
      <c r="C73" s="67"/>
      <c r="D73" s="67"/>
      <c r="E73" s="67"/>
      <c r="F73" s="67"/>
      <c r="G73" s="67"/>
    </row>
    <row r="74" spans="1:7" ht="15" customHeight="1" x14ac:dyDescent="0.2">
      <c r="A74" s="67" t="s">
        <v>433</v>
      </c>
      <c r="B74" s="67"/>
      <c r="C74" s="67"/>
      <c r="D74" s="67"/>
      <c r="E74" s="67"/>
      <c r="F74" s="67"/>
      <c r="G74" s="67"/>
    </row>
    <row r="75" spans="1:7" ht="15" customHeight="1" x14ac:dyDescent="0.2">
      <c r="A75" s="67" t="s">
        <v>434</v>
      </c>
      <c r="B75" s="67"/>
      <c r="C75" s="67"/>
      <c r="D75" s="67"/>
      <c r="E75" s="67"/>
      <c r="F75" s="67"/>
      <c r="G75" s="67"/>
    </row>
    <row r="76" spans="1:7" ht="15" customHeight="1" x14ac:dyDescent="0.2">
      <c r="A76" s="67" t="s">
        <v>435</v>
      </c>
      <c r="B76" s="67"/>
      <c r="C76" s="67"/>
      <c r="D76" s="67"/>
      <c r="E76" s="67"/>
      <c r="F76" s="67"/>
      <c r="G76" s="67"/>
    </row>
    <row r="77" spans="1:7" ht="15" customHeight="1" x14ac:dyDescent="0.2">
      <c r="A77" s="67" t="s">
        <v>436</v>
      </c>
      <c r="B77" s="67"/>
      <c r="C77" s="67"/>
      <c r="D77" s="67"/>
      <c r="E77" s="67"/>
      <c r="F77" s="67"/>
      <c r="G77" s="67"/>
    </row>
  </sheetData>
  <mergeCells count="11">
    <mergeCell ref="A72:G72"/>
    <mergeCell ref="A4:A5"/>
    <mergeCell ref="B4:B5"/>
    <mergeCell ref="F4:F5"/>
    <mergeCell ref="G4:G5"/>
    <mergeCell ref="A71:G71"/>
    <mergeCell ref="A73:G73"/>
    <mergeCell ref="A74:G74"/>
    <mergeCell ref="A75:G75"/>
    <mergeCell ref="A76:G76"/>
    <mergeCell ref="A77:G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B7EE-42C7-4B53-83A1-9D68465468C7}">
  <dimension ref="A1:G69"/>
  <sheetViews>
    <sheetView workbookViewId="0"/>
  </sheetViews>
  <sheetFormatPr defaultRowHeight="12.75" x14ac:dyDescent="0.2"/>
  <cols>
    <col min="1" max="1" width="30.7109375" customWidth="1"/>
    <col min="2" max="7" width="11.7109375" customWidth="1"/>
  </cols>
  <sheetData>
    <row r="1" spans="1:7" x14ac:dyDescent="0.2">
      <c r="A1" s="13" t="s">
        <v>541</v>
      </c>
      <c r="B1" s="14"/>
      <c r="C1" s="14"/>
      <c r="D1" s="14"/>
      <c r="E1" s="14"/>
      <c r="F1" s="14"/>
      <c r="G1" s="14"/>
    </row>
    <row r="2" spans="1:7" x14ac:dyDescent="0.2">
      <c r="A2" s="14" t="s">
        <v>502</v>
      </c>
      <c r="B2" s="14"/>
      <c r="C2" s="14"/>
      <c r="D2" s="14"/>
      <c r="E2" s="14"/>
      <c r="F2" s="14"/>
      <c r="G2" s="14"/>
    </row>
    <row r="3" spans="1:7" x14ac:dyDescent="0.2">
      <c r="A3" s="60" t="s">
        <v>103</v>
      </c>
      <c r="B3" s="60" t="s">
        <v>542</v>
      </c>
      <c r="C3" s="45" t="s">
        <v>543</v>
      </c>
      <c r="D3" s="45"/>
      <c r="E3" s="45"/>
      <c r="F3" s="45"/>
      <c r="G3" s="57" t="s">
        <v>107</v>
      </c>
    </row>
    <row r="4" spans="1:7" x14ac:dyDescent="0.2">
      <c r="A4" s="61"/>
      <c r="B4" s="61"/>
      <c r="C4" s="45" t="s">
        <v>105</v>
      </c>
      <c r="D4" s="45"/>
      <c r="E4" s="45"/>
      <c r="F4" s="64" t="s">
        <v>106</v>
      </c>
      <c r="G4" s="63"/>
    </row>
    <row r="5" spans="1:7" ht="25.5" customHeight="1" x14ac:dyDescent="0.2">
      <c r="A5" s="62"/>
      <c r="B5" s="62"/>
      <c r="C5" s="46" t="s">
        <v>108</v>
      </c>
      <c r="D5" s="46" t="s">
        <v>544</v>
      </c>
      <c r="E5" s="46" t="s">
        <v>110</v>
      </c>
      <c r="F5" s="65"/>
      <c r="G5" s="58"/>
    </row>
    <row r="6" spans="1:7" x14ac:dyDescent="0.2">
      <c r="A6" s="11" t="s">
        <v>111</v>
      </c>
      <c r="B6" s="43">
        <f>(80973+215826+99235+62668+66350+65444+191704+257319+33628+0+93007+53222+53887303+94448+16442+24444+146610+37071+27701+23731608+396288+4374830+21060+34645+48408+0+218401+143280+83331+25434+61461+884343+58507+17977+23721+19109+0)/1000</f>
        <v>85595.797999999995</v>
      </c>
      <c r="C6" s="43">
        <f>(0+28265+20485+0+66+0+0+0+0+0+0+0+0+0+0+0+0+0+0+0+0+0+0+0+2489+0+5586+2316+2658+6+2325+3363+28772+538+711+0+0)/1000</f>
        <v>97.58</v>
      </c>
      <c r="D6" s="43">
        <f>(86696+204587+72487+67560+92081+67851+197338+266757+35796+0+93022+53824+61142676+103937+16442+23836+153337+39433+31750+23807510+434621+4798073+0+0+42721+0+226637+131888+86789+25454+56848+784419+31169+17411+22975+20772+0)/1000</f>
        <v>93236.697</v>
      </c>
      <c r="E6" s="43">
        <f t="shared" ref="E6:E37" si="0">SUM(C6:D6)</f>
        <v>93334.277000000002</v>
      </c>
      <c r="F6" s="43">
        <f>(90423+235017+93082+72244+91012+73009+198677+0+0+316229+83997+53800+0+103937+16442+27965+152671+41126+35309+0+449678+5063654+0+0+2197+0+222204+120259+0+26329+50568+0+0+12157+18147+18072+0)/1000</f>
        <v>7668.2049999999999</v>
      </c>
      <c r="G6" s="18">
        <f>IF(AND(F64&lt;&gt;0,F6&lt;&gt;0),IF(100*F6/F64&lt;0.005,"*",100*F6/F64),0)</f>
        <v>1.1920530324308771</v>
      </c>
    </row>
    <row r="7" spans="1:7" x14ac:dyDescent="0.2">
      <c r="A7" s="11" t="s">
        <v>112</v>
      </c>
      <c r="B7" s="43">
        <f>(12468+36489+19893+8922+14129+12069+39093+45609+9857+0+44397+23146+11063513+9433+3545+4266+20243+24481+25092+3601526+30418+1627974+1240+10542+4744+0+44466+9491+3021+21701+218371+603186+52053+9606+11004+76949+0)/1000</f>
        <v>17742.937000000002</v>
      </c>
      <c r="C7" s="43">
        <f>(0+4779+4106+0+14+0+0+0+0+0+0+0+0+0+0+0+0+0+0+0+0+0+0+0+7511+35856+1164+153+133+0+16983+96138+25598+288+330+0+0)/1000</f>
        <v>193.053</v>
      </c>
      <c r="D7" s="43">
        <f>(13349+34589+14531+9618+19608+11173+40434+47237+10299+0+44405+23408+11305117+10383+3545+4160+19692+26041+28759+3613044+32126+1775359+0+0+1939+0+47216+8736+3146+21712+229756+522571+27731+9319+10658+83644+0)/1000</f>
        <v>18053.305</v>
      </c>
      <c r="E7" s="43">
        <f t="shared" si="0"/>
        <v>18246.358</v>
      </c>
      <c r="F7" s="43">
        <f>(13923+39734+18660+10285+19381+12075+40760+0+0+56903+40096+23397+0+10383+3545+4880+19549+27159+31983+0+38042+1858131+0+0+3071+0+46293+7966+0+22458+204372+0+0+6507+8418+72770+0)/1000</f>
        <v>2640.741</v>
      </c>
      <c r="G7" s="18">
        <f>IF(AND(F64&lt;&gt;0,F7&lt;&gt;0),IF(100*F7/F64&lt;0.005,"*",100*F7/F64),0)</f>
        <v>0.4105137143457363</v>
      </c>
    </row>
    <row r="8" spans="1:7" x14ac:dyDescent="0.2">
      <c r="A8" s="11" t="s">
        <v>113</v>
      </c>
      <c r="B8" s="43">
        <f>(97007+281436+91830+55021+70291+93556+215703+339128+37200+0+199407+46065+28240252+128573+19827+37907+173970+182470+160033+34157132+251666+10318779+19670+46880+45490+0+190725+21937+10433+32298+117311+732511+176695+16108+24708+102719+0)/1000</f>
        <v>76734.737999999998</v>
      </c>
      <c r="C8" s="43">
        <f>(0+36857+18956+0+70+0+0+0+0+0+0+0+0+0+0+0+0+0+0+0+0+0+0+0+24363+0+4888+355+458+206+1458+107572+86892+325+593+0+0)/1000</f>
        <v>282.99299999999999</v>
      </c>
      <c r="D8" s="43">
        <f>(103863+266780+67078+59316+97551+78878+225998+346165+41710+0+199439+46586+28592387+140817+19827+36964+172030+194096+183423+34266377+266358+10727829+0+0+37322+0+198308+20193+10866+32521+72290+742149+94133+10517+19167+111655+0)/1000</f>
        <v>77482.592999999993</v>
      </c>
      <c r="E8" s="43">
        <f t="shared" si="0"/>
        <v>77765.585999999996</v>
      </c>
      <c r="F8" s="43">
        <f>(108328+306461+86136+63428+96418+87077+229327+0+0+405211+180089+46565+0+140817+19827+43367+171117+202429+203986+0+259226+11535020+0+0+19989+0+194429+18413+0+33638+64303+0+0+7343+15140+97140+0)/1000</f>
        <v>14635.224</v>
      </c>
      <c r="G8" s="18">
        <f>IF(AND(F64&lt;&gt;0,F8&lt;&gt;0),IF(100*F8/F64&lt;0.005,"*",100*F8/F64),0)</f>
        <v>2.2751039062603504</v>
      </c>
    </row>
    <row r="9" spans="1:7" x14ac:dyDescent="0.2">
      <c r="A9" s="11" t="s">
        <v>114</v>
      </c>
      <c r="B9" s="43">
        <f>(58327+141425+61406+50821+32728+45426+118077+157131+20277+0+56546+34816+30562139+60313+5300+16414+102417+52005+28250+14625656+167790+5502868+8034+12248+24195+0+117158+34998+23940+17703+45574+581556+65595+28117+16555+29425+0)/1000</f>
        <v>52905.23</v>
      </c>
      <c r="C9" s="43">
        <f>(0+18521+12676+0+32+0+0+0+0+0+0+0+0+0+0+0+0+0+0+0+0+0+0+0+816+8940+3026+566+1051+2+6150+74255+32257+315+496+0+0)/1000</f>
        <v>159.10300000000001</v>
      </c>
      <c r="D9" s="43">
        <f>(62449+134060+44854+54788+45420+40463+121548+166713+22038+0+56555+35210+33108910+66344+5300+16006+106614+55318+32379+14672434+177209+5616522+0+0+25827+0+122762+32215+24934+17714+35732+526410+34945+10185+16035+31985+0)/1000</f>
        <v>55519.877999999997</v>
      </c>
      <c r="E9" s="43">
        <f t="shared" si="0"/>
        <v>55678.981</v>
      </c>
      <c r="F9" s="43">
        <f>(65134+154000+57599+58587+44893+43512+122372+0+0+195664+51068+35194+0+66344+5300+18778+105367+57693+36009+0+204765+5836993+0+0+871+0+120361+29374+0+18323+31784+0+0+7112+12665+27827+0)/1000</f>
        <v>7407.5889999999999</v>
      </c>
      <c r="G9" s="18">
        <f>IF(AND(F64&lt;&gt;0,F9&lt;&gt;0),IF(100*F9/F64&lt;0.005,"*",100*F9/F64),0)</f>
        <v>1.151539236425162</v>
      </c>
    </row>
    <row r="10" spans="1:7" x14ac:dyDescent="0.2">
      <c r="A10" s="11" t="s">
        <v>115</v>
      </c>
      <c r="B10" s="43">
        <f>(547115+1565146+931995+467013+1020499+315662+1289887+1963513+229490+0+3635563+687331+204369272+507250+85593+211088+1265360+1446179+646764+192475303+3038425+56720417+156380+330508+435455+124155+4345675+120026+92643+328239+269949+3865651+2045654+117898+100559+254049+0)/1000</f>
        <v>486005.70600000001</v>
      </c>
      <c r="C10" s="43">
        <f>(0+204972+192388+0+1013+0+0+0+0+0+0+0+0+0+0+0+0+0+0+0+0+0+0+0+63692+1143675+111665+1940+3068+1438+17800+314840+1005974+3444+2908+0+0)/1000</f>
        <v>3068.817</v>
      </c>
      <c r="D10" s="43">
        <f>(585783+1485642+680779+503466+1416260+292346+1327802+2001305+238130+0+3636140+695107+205301307+560532+85593+205839+1300718+1538322+741292+193090896+3208988+63728887+0+0+351468+0+4530385+110483+96487+329853+295867+3680319+1089805+111357+94021+276151+0)/1000</f>
        <v>493591.33</v>
      </c>
      <c r="E10" s="43">
        <f t="shared" si="0"/>
        <v>496660.147</v>
      </c>
      <c r="F10" s="43">
        <f>(610967+1706315+874207+538373+1399819+315630+1336803+0+0+2366306+3283363+694793+0+560532+85593+241494+1294690+1604364+824396+0+3283458+62481378+0+0+51407+0+4441775+100741+0+341184+263179+0+0+77760+74266+240251+0)/1000</f>
        <v>89093.043999999994</v>
      </c>
      <c r="G10" s="18">
        <f>IF(AND(F64&lt;&gt;0,F10&lt;&gt;0),IF(100*F10/F64&lt;0.005,"*",100*F10/F64),0)</f>
        <v>13.84986881137079</v>
      </c>
    </row>
    <row r="11" spans="1:7" x14ac:dyDescent="0.2">
      <c r="A11" s="11" t="s">
        <v>116</v>
      </c>
      <c r="B11" s="43">
        <f>(45090+130318+66036+26813+56498+47794+168564+145897+23292+0+135608+66383+53821753+61928+10174+29271+112877+88073+17510+27297168+298414+5521554+13174+19904+50509+0+315502+31485+17014+33363+82575+724497+163873+12838+21741+29106+0)/1000</f>
        <v>89686.596000000005</v>
      </c>
      <c r="C11" s="43">
        <f>(0+17066+13632+0+56+0+0+0+0+0+0+0+0+0+0+0+0+0+0+0+0+0+0+0+651+0+8088+509+747+2+2000+0+80586+385+651+0+0)/1000</f>
        <v>124.373</v>
      </c>
      <c r="D11" s="43">
        <f>(48277+123532+48236+28906+78409+47719+176600+153676+24556+0+135629+67134+61658279+67936+10174+28543+116142+93684+20069+27384473+315358+5796624+0+0+37677+0+328152+28982+17720+33382+77833+543081+87302+12455+21058+31638+0)/1000</f>
        <v>97643.236000000004</v>
      </c>
      <c r="E11" s="43">
        <f t="shared" si="0"/>
        <v>97767.609000000011</v>
      </c>
      <c r="F11" s="43">
        <f>(50352+141906+61941+30910+77498+52150+177790+0+0+182493+122470+67104+0+67936+10174+33487+115467+97706+22319+0+321772+5809471+0+0+486+0+321734+26426+0+34529+69234+0+0+8697+16633+27525+0)/1000</f>
        <v>7948.21</v>
      </c>
      <c r="G11" s="18">
        <f>IF(AND(F64&lt;&gt;0,F11&lt;&gt;0),IF(100*F11/F64&lt;0.005,"*",100*F11/F64),0)</f>
        <v>1.2355809257704278</v>
      </c>
    </row>
    <row r="12" spans="1:7" x14ac:dyDescent="0.2">
      <c r="A12" s="11" t="s">
        <v>117</v>
      </c>
      <c r="B12" s="43">
        <f>(37463+119283+42582+19328+62413+29114+140425+131135+17930+0+265908+58791+75327952+33477+18738+16064+69178+78561+44937+17468267+101405+5058411+11282+18474+48759+0+447982+77274+36539+43462+8135+610594+43459+19662+11004+15450+0)/1000</f>
        <v>100533.43799999999</v>
      </c>
      <c r="C12" s="43">
        <f>(0+15621+8790+0+62+0+0+0+0+0+0+0+0+0+0+0+0+0+0+0+0+0+0+0+0+0+11521+1249+1605+444+1250+66261+21371+590+330+0+0)/1000</f>
        <v>129.09399999999999</v>
      </c>
      <c r="D12" s="43">
        <f>(40111+113071+31104+20837+86617+22093+144548+144720+18210+0+265950+59456+73032152+37609+18738+15664+72438+83567+51505+17524135+107097+5296308+0+0+41382+0+467439+71130+38056+43929+25110+528504+23152+19074+10658+16794+0)/1000</f>
        <v>98471.157999999996</v>
      </c>
      <c r="E12" s="43">
        <f t="shared" si="0"/>
        <v>98600.251999999993</v>
      </c>
      <c r="F12" s="43">
        <f>(41835+129889+39942+22281+85612+23572+145533+0+0+172221+240147+59429+0+37609+18738+18378+72157+87155+57279+0+83957+5259989+0+0+0+0+458297+64858+0+45438+22336+0+0+13320+8418+14611+0)/1000</f>
        <v>7223.0010000000002</v>
      </c>
      <c r="G12" s="18">
        <f>IF(AND(F64&lt;&gt;0,F12&lt;&gt;0),IF(100*F12/F64&lt;0.005,"*",100*F12/F64),0)</f>
        <v>1.1228442960642364</v>
      </c>
    </row>
    <row r="13" spans="1:7" x14ac:dyDescent="0.2">
      <c r="A13" s="11" t="s">
        <v>118</v>
      </c>
      <c r="B13" s="43">
        <f>(14512+37430+13736+18704+13425+13920+38070+52114+9857+0+32184+24745+12959903+14002+5179+4730+20777+2479+2262+4682984+37871+1528039+5221+9423+7079+0+44245+13321+6593+7919+2072+192319+41840+7879+11004+5707+0)/1000</f>
        <v>19881.544999999998</v>
      </c>
      <c r="C13" s="43">
        <f>(0+4902+2835+0+13+0+0+0+0+0+0+0+0+0+0+0+0+0+0+0+0+0+0+0+5766+0+1164+215+290+0+1750+11141+20575+236+330+0+0)/1000</f>
        <v>49.216999999999999</v>
      </c>
      <c r="D13" s="43">
        <f>(15538+35481+10034+20164+18631+11173+39413+54692+10299+0+32190+25024+13368391+15613+5179+4613+21354+2637+2592+4697961+40021+1641294+0+0+4121+0+47216+12262+6866+7923+9268+181776+22290+7644+10658+6203+0)/1000</f>
        <v>20388.521000000001</v>
      </c>
      <c r="E13" s="43">
        <f t="shared" si="0"/>
        <v>20437.738000000001</v>
      </c>
      <c r="F13" s="43">
        <f>(16206+40758+12884+21562+18415+12075+39737+0+0+65096+29066+25013+0+15613+5179+5412+21189+2750+2883+0+38836+1710698+0+0+3357+0+46293+11181+0+8195+8244+0+0+5337+8418+5397+0)/1000</f>
        <v>2179.7939999999999</v>
      </c>
      <c r="G13" s="18">
        <f>IF(AND(F64&lt;&gt;0,F13&lt;&gt;0),IF(100*F13/F64&lt;0.005,"*",100*F13/F64),0)</f>
        <v>0.33885766587808119</v>
      </c>
    </row>
    <row r="14" spans="1:7" x14ac:dyDescent="0.2">
      <c r="A14" s="11" t="s">
        <v>119</v>
      </c>
      <c r="B14" s="43">
        <f>(11615+28579+12920+10686+21560+14926+20101+49085+9857+0+92304+19339+11194786+8422+4567+3185+36771+39217+10054+3378447+49217+2273815+14150+75255+15223+0+237478+68433+20751+9309+275+170555+368150+7879+11004+7442+0)/1000</f>
        <v>18295.357</v>
      </c>
      <c r="C14" s="43">
        <f>(0+3743+2667+0+21+0+0+0+0+0+0+0+0+0+0+0+0+0+0+0+0+0+0+0+735+0+6110+1106+911+53+0+17469+181042+236+330+0+0)/1000</f>
        <v>214.423</v>
      </c>
      <c r="D14" s="43">
        <f>(12436+27091+9437+11520+29921+15362+21059+50815+10299+0+92319+19558+11439253+9601+4567+3106+38535+41715+11524+3389252+52802+2325170+0+0+14873+0+247885+62992+21612+9368+273+165150+196129+7644+10658+8090+0)/1000</f>
        <v>18360.016</v>
      </c>
      <c r="E14" s="43">
        <f t="shared" si="0"/>
        <v>18574.438999999998</v>
      </c>
      <c r="F14" s="43">
        <f>(12971+31120+12119+12319+29574+16410+21533+0+0+61789+83362+19549+0+9601+4567+3644+38056+43506+12816+0+82631+2480719+0+0+718+0+243036+57437+0+9690+243+0+0+5337+8418+7038+0)/1000</f>
        <v>3308.203</v>
      </c>
      <c r="G14" s="18">
        <f>IF(AND(F64&lt;&gt;0,F14&lt;&gt;0),IF(100*F14/F64&lt;0.005,"*",100*F14/F64),0)</f>
        <v>0.51427334272452618</v>
      </c>
    </row>
    <row r="15" spans="1:7" x14ac:dyDescent="0.2">
      <c r="A15" s="11" t="s">
        <v>120</v>
      </c>
      <c r="B15" s="43">
        <f>(274585+870043+360876+286037+86076+195467+678801+898113+102439+0+560484+213525+96785280+315201+43027+97282+416038+217837+130077+102157832+793192+15301471+136692+107894+145985+157676+1060588+134757+70369+76977+233898+2134595+487776+54175+43187+87871+0)/1000</f>
        <v>225716.12299999999</v>
      </c>
      <c r="C15" s="43">
        <f>(0+113941+74494+0+85+0+0+0+0+0+0+0+0+0+0+0+0+0+0+0+0+0+0+0+55652+1407675+27232+2179+2590+10+16436+170081+239869+1625+1298+0+0)/1000</f>
        <v>2113.1669999999999</v>
      </c>
      <c r="D15" s="43">
        <f>(293992+824736+263603+308364+119457+210234+702252+922111+110864+0+560573+215941+97992371+357788+43026+94863+433780+231717+149088+102484563+842520+16799910+0+0+113604+0+1104857+124043+73289+77027+183817+1915153+259858+52558+41954+95515+0)/1000</f>
        <v>228003.42800000001</v>
      </c>
      <c r="E15" s="43">
        <f t="shared" si="0"/>
        <v>230116.595</v>
      </c>
      <c r="F15" s="43">
        <f>(306631+947405+338500+329744+118070+230039+706998+0+0+1115543+506186+215843+0+357788+43026+111295+429769+241665+165802+0+854727+17486983+0+0+43308+0+1083247+113105+0+79673+163509+0+0+36700+33139+83098+0)/1000</f>
        <v>26141.793000000001</v>
      </c>
      <c r="G15" s="18">
        <f>IF(AND(F64&lt;&gt;0,F15&lt;&gt;0),IF(100*F15/F64&lt;0.005,"*",100*F15/F64),0)</f>
        <v>4.0638459220678476</v>
      </c>
    </row>
    <row r="16" spans="1:7" x14ac:dyDescent="0.2">
      <c r="A16" s="11" t="s">
        <v>121</v>
      </c>
      <c r="B16" s="43">
        <f>(198044+528392+189657+126179+91968+100000+363688+538160+61190+0+329650+86763+76535609+210368+36548+56032+243412+91881+51330+50773086+444313+7725952+73135+37540+76928+37943+542274+123916+88299+56377+52813+1412637+226869+27181+25931+47081+0)/1000</f>
        <v>141611.14600000001</v>
      </c>
      <c r="C16" s="43">
        <f>(0+69198+39150+0+91+0+0+0+0+0+0+0+0+0+0+0+0+0+0+0+0+0+0+0+3122+81813+13907+2003+2876+10+6331+115868+111565+814+777+0+0)/1000</f>
        <v>447.52499999999998</v>
      </c>
      <c r="D16" s="43">
        <f>(212041+500876+138536+136028+127634+118961+381031+557193+67424+0+329703+87745+77490150+231276+36548+54638+254575+97735+58832+50935473+469255+7961297+0+0+83079+0+564232+114063+91962+56416+83610+1308307+120862+26326+25115+51177+0)/1000</f>
        <v>142772.1</v>
      </c>
      <c r="E16" s="43">
        <f t="shared" si="0"/>
        <v>143219.625</v>
      </c>
      <c r="F16" s="43">
        <f>(221157+575375+177897+145459+126153+129763+383594+0+0+664702+297715+87705+0+231276+36548+64102+253300+101931+65428+0+429237+8118467+0+0+3372+0+553197+104006+0+58354+74373+0+0+18383+19838+44524+0)/1000</f>
        <v>12985.856</v>
      </c>
      <c r="G16" s="18">
        <f>IF(AND(F64&lt;&gt;0,F16&lt;&gt;0),IF(100*F16/F64&lt;0.005,"*",100*F16/F64),0)</f>
        <v>2.0187030763406431</v>
      </c>
    </row>
    <row r="17" spans="1:7" x14ac:dyDescent="0.2">
      <c r="A17" s="11" t="s">
        <v>122</v>
      </c>
      <c r="B17" s="43">
        <f>(11150+47152+28036+6747+24925+13380+41986+51230+9857+0+98578+15601+5012869+17564+4972+7088+29519+30035+16171+6949648+63149+1466754+3723+14164+21227+3975+140616+28752+13681+12898+38563+188587+60169+554+11336+12222+0)/1000</f>
        <v>14496.878000000001</v>
      </c>
      <c r="C17" s="43">
        <f>(0+6175+5787+0+25+0+0+0+0+0+0+0+0+0+0+0+0+0+0+0+0+0+0+0+0+93017+3608+465+601+66+0+44932+29589+373+330+0+0)/1000</f>
        <v>184.96799999999999</v>
      </c>
      <c r="D17" s="43">
        <f>(11938+44697+20479+7274+34591+12773+43220+54140+10299+0+98594+15777+4943018+19185+4972+6912+30958+31948+18535+6971875+66694+1426259+0+0+13585+0+146370+26466+14248+12971+28351+172622+32055+12059+10658+13285+0)/1000</f>
        <v>14356.808000000001</v>
      </c>
      <c r="E17" s="43">
        <f t="shared" si="0"/>
        <v>14541.776000000002</v>
      </c>
      <c r="F17" s="43">
        <f>(12451+51345+26298+7778+34190+13784+43513+0+0+65001+89028+15770+0+19185+4972+8109+30865+33320+20613+0+51059+1367397+0+0+0+0+143507+24132+0+13417+25219+0+0+8421+8418+11558+0)/1000</f>
        <v>2129.35</v>
      </c>
      <c r="G17" s="18">
        <f>IF(AND(F64&lt;&gt;0,F17&lt;&gt;0),IF(100*F17/F64&lt;0.005,"*",100*F17/F64),0)</f>
        <v>0.33101594501016707</v>
      </c>
    </row>
    <row r="18" spans="1:7" x14ac:dyDescent="0.2">
      <c r="A18" s="11" t="s">
        <v>123</v>
      </c>
      <c r="B18" s="43">
        <f>(17382+51392+25756+8076+11171+20058+59643+58230+9857+0+30307+21865+20507847+30288+2867+9942+41710+19820+8945+8358551+78353+1604141+6703+11678+13083+0+41837+1440+1573+13309+33731+438658+21414+7879+11004+18092+0)/1000</f>
        <v>31596.601999999999</v>
      </c>
      <c r="C18" s="43">
        <f>(0+6730+5317+0+11+0+0+0+0+0+0+0+0+0+0+0+0+0+0+0+0+0+0+0+1835+0+1047+23+69+0+4137+2436+10531+236+330+0+0)/1000</f>
        <v>32.701999999999998</v>
      </c>
      <c r="D18" s="43">
        <f>(18611+48716+18814+8706+15503+20579+62486+58591+10299+0+30312+22113+20955690+33078+2868+9695+39507+21083+10253+8385284+83343+2011388+0+0+11366+0+42494+1325+1639+13316+33685+292698+11408+7644+10658+19666+0)/1000</f>
        <v>32312.817999999999</v>
      </c>
      <c r="E18" s="43">
        <f t="shared" si="0"/>
        <v>32345.52</v>
      </c>
      <c r="F18" s="43">
        <f>(19411+55962+24159+9310+15323+22661+62907+0+0+68491+27371+22103+0+33078+2868+11374+39355+21988+11402+0+99948+2102862+0+0+1594+0+41663+1209+0+13774+29963+0+0+5337+8418+17109+0)/1000</f>
        <v>2769.64</v>
      </c>
      <c r="G18" s="18">
        <f>IF(AND(F64&lt;&gt;0,F18&lt;&gt;0),IF(100*F18/F64&lt;0.005,"*",100*F18/F64),0)</f>
        <v>0.43055157768237218</v>
      </c>
    </row>
    <row r="19" spans="1:7" x14ac:dyDescent="0.2">
      <c r="A19" s="11" t="s">
        <v>124</v>
      </c>
      <c r="B19" s="43">
        <f>(148805+462322+192154+145732+121836+115032+534101+671396+79034+0+583126+130513+172297361+172072+56874+66576+386044+178752+79217+62323770+392710+11498126+45700+143900+281342+0+1030284+270040+138498+140726+134112+1502277+692398+72687+41516+66576+0)/1000</f>
        <v>255195.609</v>
      </c>
      <c r="C19" s="43">
        <f>(0+60546+39665+0+121+0+0+0+0+0+0+0+0+0+0+0+0+0+0+0+0+0+0+0+69581+0+26476+4366+5081+10+4500+101665+340495+2178+1244+0+0)/1000</f>
        <v>655.928</v>
      </c>
      <c r="D19" s="43">
        <f>(159322+438247+140359+157107+169085+117478+549779+665909+78267+0+583219+131989+173899852+189483+56874+64920+399893+190141+90794+62523100+414755+12152340+0+0+135024+0+1074166+248569+144245+140810+168028+1457383+368869+70419+40211+72368+0)/1000</f>
        <v>257093.005</v>
      </c>
      <c r="E19" s="43">
        <f t="shared" si="0"/>
        <v>257748.93300000002</v>
      </c>
      <c r="F19" s="43">
        <f>(166172+503430+180239+168000+167123+125957+553527+0+0+785402+526635+131930+0+189483+56874+76166+397990+198304+100973+0+358125+12186178+0+0+33394+0+1053157+226651+0+145648+149464+0+0+49173+31761+62960+0)/1000</f>
        <v>18624.716</v>
      </c>
      <c r="G19" s="18">
        <f>IF(AND(F64&lt;&gt;0,F19&lt;&gt;0),IF(100*F19/F64&lt;0.005,"*",100*F19/F64),0)</f>
        <v>2.8952863396275763</v>
      </c>
    </row>
    <row r="20" spans="1:7" x14ac:dyDescent="0.2">
      <c r="A20" s="11" t="s">
        <v>125</v>
      </c>
      <c r="B20" s="43">
        <f>(82547+272045+103207+57516+61335+64053+273053+257161+36200+0+206117+75856+77016388+113269+26182+36281+152942+103632+61930+32455904+261535+9240467+17190+35709+72697+0+239526+45583+32419+33200+72588+1009565+110089+38679+16819+44258+0)/1000</f>
        <v>122725.942</v>
      </c>
      <c r="C20" s="43">
        <f>(0+35627+21305+0+61+0+0+0+0+0+0+0+0+0+0+0+0+0+0+0+0+0+0+0+32072+0+6168+737+1423+162+5275+114259+54138+1161+504+0+0)/1000</f>
        <v>272.892</v>
      </c>
      <c r="D20" s="43">
        <f>(88381+257879+75388+62005+85121+79793+281079+264855+38397+0+206149+76714+78019664+126122+26182+35378+154972+110235+70981+32559708+276216+11367527+0+0+47904+0+250245+41958+33764+33379+69590+962814+58649+37524+16291+48108+0)/1000</f>
        <v>125862.97199999999</v>
      </c>
      <c r="E20" s="43">
        <f t="shared" si="0"/>
        <v>126135.864</v>
      </c>
      <c r="F20" s="43">
        <f>(92181+296235+96808+66305+84133+86281+282984+0+0+313111+186149+76679+0+126122+26182+41507+154232+114967+78939+0+243120+10651426+0+0+21134+0+245351+38259+0+34526+61902+0+0+26203+12867+41854+0)/1000</f>
        <v>13499.457</v>
      </c>
      <c r="G20" s="18">
        <f>IF(AND(F64&lt;&gt;0,F20&lt;&gt;0),IF(100*F20/F64&lt;0.005,"*",100*F20/F64),0)</f>
        <v>2.0985443989851902</v>
      </c>
    </row>
    <row r="21" spans="1:7" x14ac:dyDescent="0.2">
      <c r="A21" s="11" t="s">
        <v>126</v>
      </c>
      <c r="B21" s="43">
        <f>(28631+116347+40272+27412+21018+33506+128974+87956+15088+0+130558+37201+54587224+45690+8508+17045+79246+20369+41968+15314187+130026+3541669+11919+14286+35770+0+107955+8308+7701+25153+66136+522608+61819+21722+17349+16832+0)/1000</f>
        <v>75370.452999999994</v>
      </c>
      <c r="C21" s="43">
        <f>(0+15237+8313+0+21+0+0+0+0+0+0+0+0+0+0+0+0+0+0+0+0+0+0+0+18705+96741+2793+134+339+5+2753+106258+30400+652+522+0+0)/1000</f>
        <v>282.87299999999999</v>
      </c>
      <c r="D21" s="43">
        <f>(30655+110288+29417+29552+29169+35525+132762+102841+15954+0+130579+37622+55298302+51041+8508+16621+79868+21666+48102+15363166+146382+4064129+0+0+25314+0+113319+7648+8020+25171+38225+517073+32934+21073+16885+18297+0)/1000</f>
        <v>76606.107999999993</v>
      </c>
      <c r="E21" s="43">
        <f t="shared" si="0"/>
        <v>76888.981</v>
      </c>
      <c r="F21" s="43">
        <f>(31972+126692+37775+31601+28830+38170+133665+0+0+121225+117910+37605+0+51041+8508+19501+79542+22596+53495+0+147231+3916162+0+0+13238+0+111102+6973+0+26036+34002+0+0+14715+13336+15918+0)/1000</f>
        <v>5238.8410000000003</v>
      </c>
      <c r="G21" s="18">
        <f>IF(AND(F64&lt;&gt;0,F21&lt;&gt;0),IF(100*F21/F64&lt;0.005,"*",100*F21/F64),0)</f>
        <v>0.81439871527602736</v>
      </c>
    </row>
    <row r="22" spans="1:7" x14ac:dyDescent="0.2">
      <c r="A22" s="11" t="s">
        <v>127</v>
      </c>
      <c r="B22" s="43">
        <f>(33360+107237+43344+31426+27256+28476+112638+100955+15906+0+101478+30308+36484305+45698+9812+16088+78908+28176+20103+14181884+119145+2189481+7186+10526+28684+0+73203+25592+18165+16616+38820+458825+33095+14512+12766+22844+0)/1000</f>
        <v>54566.817999999999</v>
      </c>
      <c r="C22" s="43">
        <f>(0+14044+8947+0+27+0+0+0+0+0+0+0+0+0+0+0+0+0+0+0+0+0+0+0+557+0+1862+414+797+1+3589+43290+16275+435+382+0+0)/1000</f>
        <v>90.62</v>
      </c>
      <c r="D22" s="43">
        <f>(35718+101653+31661+33879+37826+30812+115949+109913+16354+0+101494+30650+38176258+49237+9812+15687+79700+29972+23041+14227242+125833+2540713+0+0+26205+0+75546+23557+18919+16626+41787+385364+17631+14054+12366+24832+0)/1000</f>
        <v>56580.290999999997</v>
      </c>
      <c r="E22" s="43">
        <f t="shared" si="0"/>
        <v>56670.911</v>
      </c>
      <c r="F22" s="43">
        <f>(37253+116772+40656+36228+37387+33195+116735+0+0+130015+91647+30637+0+49237+9812+18405+79550+31258+25624+0+150835+3275466+0+0+509+0+74068+21480+0+17197+37170+0+0+9814+9767+21604+0)/1000</f>
        <v>4502.3209999999999</v>
      </c>
      <c r="G22" s="18">
        <f>IF(AND(F64&lt;&gt;0,F22&lt;&gt;0),IF(100*F22/F64&lt;0.005,"*",100*F22/F64),0)</f>
        <v>0.69990374553460932</v>
      </c>
    </row>
    <row r="23" spans="1:7" x14ac:dyDescent="0.2">
      <c r="A23" s="11" t="s">
        <v>128</v>
      </c>
      <c r="B23" s="43">
        <f>(101933+242146+84995+46868+71822+58866+166784+231667+31211+0+180689+47089+54749639+97190+16702+22708+182664+54636+64476+21684216+218000+8175973+9913+17367+44321+0+222453+69439+51515+25131+65549+844283+64907+20463+18132+24604+0)/1000</f>
        <v>88008.350999999995</v>
      </c>
      <c r="C23" s="43">
        <f>(0+31712+17545+0+71+0+0+0+0+0+0+0+0+0+0+0+0+0+0+0+0+0+0+0+0+0+5703+1123+2262+86+3500+28971+31919+613+543+0+0)/1000</f>
        <v>124.048</v>
      </c>
      <c r="D23" s="43">
        <f>(109137+229536+62085+50526+99675+60868+171686+266720+32709+0+180718+47621+56579812+108392+16702+22143+178920+58117+73899+21753570+230237+9569819+0+0+44632+0+231359+63917+53653+25230+48173+681619+34579+19816+17563+26745+0)/1000</f>
        <v>91150.178</v>
      </c>
      <c r="E23" s="43">
        <f t="shared" si="0"/>
        <v>91274.225999999995</v>
      </c>
      <c r="F23" s="43">
        <f>(113829+263677+79725+54030+98518+65365+172850+0+0+319247+163185+47600+0+108392+16702+25979+178281+60612+82184+0+232613+9836286+0+0+0+0+226834+58281+0+26097+42850+0+0+13838+13872+23268+0)/1000</f>
        <v>12324.115</v>
      </c>
      <c r="G23" s="18">
        <f>IF(AND(F64&lt;&gt;0,F23&lt;&gt;0),IF(100*F23/F64&lt;0.005,"*",100*F23/F64),0)</f>
        <v>1.9158328002155471</v>
      </c>
    </row>
    <row r="24" spans="1:7" x14ac:dyDescent="0.2">
      <c r="A24" s="11" t="s">
        <v>129</v>
      </c>
      <c r="B24" s="43">
        <f>(92829+254076+105635+98522+76544+34327+198964+341692+44060+0+163431+58040+50914267+97535+13864+25181+197651+50205+21753+22804622+373254+8697690+24049+17413+53376+0+378527+63964+56123+24681+51450+782700+81104+175+16470+29252+0)/1000</f>
        <v>86243.426000000007</v>
      </c>
      <c r="C24" s="43">
        <f>(0+33274+21806+0+76+0+0+0+0+0+0+0+0+0+0+0+0+0+0+0+0+0+0+0+36538+1213917+9718+1034+2464+0+6524+91662+39884+529+493+0+0)/1000</f>
        <v>1457.9190000000001</v>
      </c>
      <c r="D24" s="43">
        <f>(99390+240845+77161+106212+106229+61053+204811+345069+44344+0+163457+58697+55804633+108136+13865+24555+205290+53404+24933+22877558+394207+9607932+0+0+30225+0+394254+58878+58452+24694+75954+724025+43208+17117+15953+31797+0)/1000</f>
        <v>92096.338000000003</v>
      </c>
      <c r="E24" s="43">
        <f t="shared" si="0"/>
        <v>93554.256999999998</v>
      </c>
      <c r="F24" s="43">
        <f>(103663+276668+99085+113576+104995+65248+206200+0+0+409243+147598+58670+0+108136+13865+28808+204311+55697+27728+0+425460+9991889+0+0+20690+0+386543+53687+0+25542+67562+0+0+11952+12600+27663+0)/1000</f>
        <v>13047.079</v>
      </c>
      <c r="G24" s="18">
        <f>IF(AND(F64&lt;&gt;0,F24&lt;&gt;0),IF(100*F24/F64&lt;0.005,"*",100*F24/F64),0)</f>
        <v>2.0282204357232514</v>
      </c>
    </row>
    <row r="25" spans="1:7" x14ac:dyDescent="0.2">
      <c r="A25" s="11" t="s">
        <v>130</v>
      </c>
      <c r="B25" s="43">
        <f>(13328+37401+15455+8643+17215+16797+57807+53336+9857+0+76847+21712+38361825+15940+3019+5541+43450+23668+20450+6503563+37049+1988688+2550+12781+17715+0+94924+16955+9051+12479+32676+204579+54127+12424+11004+6266+0)/1000</f>
        <v>47819.122000000003</v>
      </c>
      <c r="C25" s="43">
        <f>(0+4898+3190+0+17+0+0+0+0+0+0+0+0+0+0+0+0+0+0+0+0+0+0+0+9530+0+2444+274+397+3+1600+32691+26617+373+330+0+0)/1000</f>
        <v>82.364000000000004</v>
      </c>
      <c r="D25" s="43">
        <f>(14270+35453+11289+9318+23891+16733+59501+55215+10299+0+76859+21958+38861542+17527+3019+5403+43191+25176+23438+6524363+39129+2402792+0+0+11945+0+99154+15607+9426+12488+24662+203739+28836+12053+10658+6811+0)/1000</f>
        <v>48715.745000000003</v>
      </c>
      <c r="E25" s="43">
        <f t="shared" si="0"/>
        <v>48798.109000000004</v>
      </c>
      <c r="F25" s="43">
        <f>(14883+40727+14497+9964+23614+17969+59910+0+0+64783+69402+21948+0+17527+3019+6339+43021+26257+26066+0+33334+2421340+0+0+6426+0+97214+14231+0+12917+21937+0+0+8416+8418+5926+0)/1000</f>
        <v>3090.085</v>
      </c>
      <c r="G25" s="18">
        <f>IF(AND(F64&lt;&gt;0,F25&lt;&gt;0),IF(100*F25/F64&lt;0.005,"*",100*F25/F64),0)</f>
        <v>0.48036603021426361</v>
      </c>
    </row>
    <row r="26" spans="1:7" x14ac:dyDescent="0.2">
      <c r="A26" s="11" t="s">
        <v>131</v>
      </c>
      <c r="B26" s="43">
        <f>(69606+179538+103995+54263+82132+47197+211199+242109+28509+0+228342+117198+78998898+66006+23301+31301+116690+71558+20186+29463663+316638+7407719+40173+54465+80045+0+650651+97329+33532+48292+40390+627094+325335+38817+20158+17425+0)/1000</f>
        <v>119953.754</v>
      </c>
      <c r="C26" s="43">
        <f>(0+23512+21467+0+81+0+0+0+0+0+0+0+0+0+0+0+0+0+0+0+0+0+0+0+0+0+16700+1574+1472+1+1696+29773+159987+1165+604+0+0)/1000</f>
        <v>258.03199999999998</v>
      </c>
      <c r="D26" s="43">
        <f>(74526+170189+75963+58499+113984+46156+217406+253690+28720+0+228378+118524+80013115+73319+23301+30523+116792+76118+23136+29557896+334413+7391491+0+0+52859+0+677551+89591+34923+48318+33130+611185+173319+37658+19524+18941+0)/1000</f>
        <v>120823.13800000001</v>
      </c>
      <c r="E26" s="43">
        <f t="shared" si="0"/>
        <v>121081.17000000001</v>
      </c>
      <c r="F26" s="43">
        <f>(77730+195502+97547+62554+112661+49654+218881+0+0+306988+206221+118470+0+73319+23301+35810+116509+79385+25730+0+334671+7478728+0+0+0+0+664299+81691+0+49978+29469+0+0+26296+15421+16479+0)/1000</f>
        <v>10497.294</v>
      </c>
      <c r="G26" s="18">
        <f>IF(AND(F64&lt;&gt;0,F26&lt;&gt;0),IF(100*F26/F64&lt;0.005,"*",100*F26/F64),0)</f>
        <v>1.6318461941247595</v>
      </c>
    </row>
    <row r="27" spans="1:7" x14ac:dyDescent="0.2">
      <c r="A27" s="11" t="s">
        <v>132</v>
      </c>
      <c r="B27" s="43">
        <f>(68919+203186+86033+66231+69807+55269+299889+252965+34310+0+457855+70836+136352893+65758+44973+31129+154250+139715+33124+33395486+724570+10386402+23877+68616+97395+0+1244315+191529+85369+58498+39884+646424+638835+54491+25533+25830+0)/1000</f>
        <v>186194.196</v>
      </c>
      <c r="C27" s="43">
        <f>(0+26609+17759+0+69+0+0+0+0+0+0+0+0+0+0+0+0+0+0+0+0+0+0+0+23259+0+32004+3096+2748+21+1250+102989+314154+1635+765+0+0)/1000</f>
        <v>526.35799999999995</v>
      </c>
      <c r="D27" s="43">
        <f>(73790+192605+62843+71401+96879+48820+308688+243871+32826+0+457928+71637+132190429+73122+44973+30355+158730+148616+37965+33502295+765244+11586231+0+0+83923+0+1298443+176301+88911+58550+44184+637442+340334+52864+24730+28078+0)/1000</f>
        <v>183033.008</v>
      </c>
      <c r="E27" s="43">
        <f t="shared" si="0"/>
        <v>183559.36600000001</v>
      </c>
      <c r="F27" s="43">
        <f>(76962+221253+80699+76351+95754+51846+310797+0+0+286323+413500+71605+0+73122+44973+35613+158108+154997+42222+0+709071+11633981+0+0+20042+0+1273047+160755+0+60562+39302+0+0+36914+19533+24428+0)/1000</f>
        <v>16171.76</v>
      </c>
      <c r="G27" s="18">
        <f>IF(AND(F64&lt;&gt;0,F27&lt;&gt;0),IF(100*F27/F64&lt;0.005,"*",100*F27/F64),0)</f>
        <v>2.5139645520358886</v>
      </c>
    </row>
    <row r="28" spans="1:7" x14ac:dyDescent="0.2">
      <c r="A28" s="11" t="s">
        <v>133</v>
      </c>
      <c r="B28" s="43">
        <f>(120642+322723+170398+70367+119809+120373+421469+469889+72707+0+772794+190934+165357646+143667+32082+47957+360604+111884+111857+48499271+273742+13476324+18702+43078+167469+0+391849+77601+49165+109794+105764+1182755+172734+69165+26939+42724+0)/1000</f>
        <v>233724.878</v>
      </c>
      <c r="C28" s="43">
        <f>(0+42264+35175+0+119+0+0+0+0+0+0+0+0+0+0+0+0+0+0+0+0+0+0+0+9528+0+10067+1255+2159+54+9000+153012+84944+2071+809+0+0)/1000</f>
        <v>350.45699999999999</v>
      </c>
      <c r="D28" s="43">
        <f>(129169+305917+124468+75859+166272+115124+433847+494115+71901+0+772917+193094+162672842+161447+32082+46764+364348+119013+128205+48654386+289108+14205599+0+0+119091+0+408419+71430+51205+109905+75061+1081601+92023+66948+26163+46441+0)/1000</f>
        <v>231704.764</v>
      </c>
      <c r="E28" s="43">
        <f t="shared" si="0"/>
        <v>232055.22099999999</v>
      </c>
      <c r="F28" s="43">
        <f>(134722+351419+159832+81119+164342+123878+436798+0+0+585125+697928+193007+0+161447+32082+54865+362479+124122+142577+0+295751+14731321+0+0+6776+0+400431+65132+0+113681+66768+0+0+46749+20665+40404+0)/1000</f>
        <v>19593.419999999998</v>
      </c>
      <c r="G28" s="18">
        <f>IF(AND(F64&lt;&gt;0,F28&lt;&gt;0),IF(100*F28/F64&lt;0.005,"*",100*F28/F64),0)</f>
        <v>3.0458752376458107</v>
      </c>
    </row>
    <row r="29" spans="1:7" x14ac:dyDescent="0.2">
      <c r="A29" s="11" t="s">
        <v>134</v>
      </c>
      <c r="B29" s="43">
        <f>(52740+164214+90751+71711+68962+54795+200247+166981+26519+0+259569+125002+116357841+69171+23367+30319+127809+54858+37545+27148452+129392+7701626+10792+27714+52899+0+261666+57476+46606+38395+82309+751998+183282+29499+16797+27621+0)/1000</f>
        <v>154548.92499999999</v>
      </c>
      <c r="C29" s="43">
        <f>(0+21506+18733+0+68+0+0+0+0+0+0+0+0+0+0+0+0+0+0+0+0+0+0+0+0+0+6750+929+1946+6+1050+6846+90131+885+503+0+0)/1000</f>
        <v>149.35300000000001</v>
      </c>
      <c r="D29" s="43">
        <f>(56468+155663+66289+77308+95706+51822+206133+173378+26678+0+259610+126416+117873568+77038+23368+29565+123202+58354+43033+27235281+137017+8683394+0+0+53667+0+273853+52906+48540+38421+52198+661893+97642+28618+16269+30025+0)/1000</f>
        <v>156933.323</v>
      </c>
      <c r="E29" s="43">
        <f t="shared" si="0"/>
        <v>157082.67600000001</v>
      </c>
      <c r="F29" s="43">
        <f>(58895+178815+85124+82669+94595+55899+207530+0+0+204024+234423+126358+0+77038+23368+34686+122668+60859+47857+0+125587+8841522+0+0+0+0+268497+48241+0+39741+46431+0+0+19984+12850+26122+0)/1000</f>
        <v>11123.782999999999</v>
      </c>
      <c r="G29" s="18">
        <f>IF(AND(F64&lt;&gt;0,F29&lt;&gt;0),IF(100*F29/F64&lt;0.005,"*",100*F29/F64),0)</f>
        <v>1.7292364063366903</v>
      </c>
    </row>
    <row r="30" spans="1:7" x14ac:dyDescent="0.2">
      <c r="A30" s="11" t="s">
        <v>135</v>
      </c>
      <c r="B30" s="43">
        <f>(65250+173342+77069+49974+30894+44681+126410+205452+29060+0+86481+41333+32218286+69095+6293+16511+210014+35419+16153+14527420+257202+4330970+18822+16596+29314+0+173011+28436+21431+17206+37511+547908+37590+14484+11845+26343+0)/1000</f>
        <v>53597.805999999997</v>
      </c>
      <c r="C30" s="43">
        <f>(0+22701+15909+0+31+0+0+0+0+0+0+0+0+0+0+0+0+0+0+0+0+0+0+0+5679+0+4422+460+941+49+3939+71031+18485+434+355+0+0)/1000</f>
        <v>144.43600000000001</v>
      </c>
      <c r="D30" s="43">
        <f>(69862+164315+56295+53875+42875+46749+130125+212689+29924+0+86495+41800+36614355+75414+6293+16100+219677+37676+18514+14573883+271641+4535154+0+0+24868+0+179421+26175+22320+17264+41312+486992+20026+14028+11473+28635+0)/1000</f>
        <v>58176.224999999999</v>
      </c>
      <c r="E30" s="43">
        <f t="shared" si="0"/>
        <v>58320.661</v>
      </c>
      <c r="F30" s="43">
        <f>(72865+188755+72290+57610+42377+49964+131008+0+0+250807+78103+41781+0+75414+6293+18889+219148+39294+20589+0+261682+4755553+0+0+4818+0+175912+23867+0+17857+36748+0+0+9796+9062+24912+0)/1000</f>
        <v>6685.3940000000002</v>
      </c>
      <c r="G30" s="18">
        <f>IF(AND(F64&lt;&gt;0,F30&lt;&gt;0),IF(100*F30/F64&lt;0.005,"*",100*F30/F64),0)</f>
        <v>1.039271145032663</v>
      </c>
    </row>
    <row r="31" spans="1:7" x14ac:dyDescent="0.2">
      <c r="A31" s="11" t="s">
        <v>136</v>
      </c>
      <c r="B31" s="43">
        <f>(80729+209630+77534+58289+49286+70929+239942+248761+35300+0+216336+67624+80257559+96016+24668+32075+180326+61701+40495+29762356+278965+7188633+13678+27746+69920+58535+271724+50801+39636+32154+41193+1041804+135307+44047+19399+27253+0)/1000</f>
        <v>121150.351</v>
      </c>
      <c r="C31" s="43">
        <f>(0+27453+16005+0+49+0+0+0+0+0+0+0+0+0+0+0+0+0+0+0+0+0+0+0+0+82215+6983+821+1440+18+5107+136683+66539+1335+581+0+0)/1000</f>
        <v>345.22899999999998</v>
      </c>
      <c r="D31" s="43">
        <f>(86435+198714+56635+62839+68400+73001+246991+258910+36805+0+216370+68389+83198518+106474+24669+31277+184226+65632+46413+29857544+294625+7459768+0+0+65044+0+283297+46762+41280+32189+68671+967676+72084+43163+18790+29623+0)/1000</f>
        <v>124311.21400000001</v>
      </c>
      <c r="E31" s="43">
        <f t="shared" si="0"/>
        <v>124656.44300000001</v>
      </c>
      <c r="F31" s="43">
        <f>(90151+228270+72726+67196+67606+78602+248669+0+0+303381+195378+68358+0+106474+24669+36695+183417+68449+51616+0+291894+7595079+0+0+0+0+277756+42639+0+33295+61084+0+0+30140+14841+25772+0)/1000</f>
        <v>10264.156999999999</v>
      </c>
      <c r="G31" s="18">
        <f>IF(AND(F64&lt;&gt;0,F31&lt;&gt;0),IF(100*F31/F64&lt;0.005,"*",100*F31/F64),0)</f>
        <v>1.5956041181993197</v>
      </c>
    </row>
    <row r="32" spans="1:7" x14ac:dyDescent="0.2">
      <c r="A32" s="11" t="s">
        <v>137</v>
      </c>
      <c r="B32" s="43">
        <f>(10821+29029+14826+11343+11524+10260+39843+48946+9857+0+37889+11660+20861871+14643+3191+5370+36776+12784+10011+5114088+91428+1506199+1259+11862+14606+0+37111+6548+4436+8544+50683+478363+16280+7879+11004+5697+0)/1000</f>
        <v>28546.631000000001</v>
      </c>
      <c r="C32" s="43">
        <f>(0+3802+3060+0+11+0+0+0+0+0+0+0+0+0+0+0+0+0+0+0+0+0+0+0+0+0+931+106+195+137+2375+48316+8006+236+330+0+0)/1000</f>
        <v>67.504999999999995</v>
      </c>
      <c r="D32" s="43">
        <f>(11586+27517+10830+12228+15993+9282+41185+50504+10299+0+37895+11792+21317443+16183+3191+5237+36862+13599+11474+5130445+96605+1570847+0+0+8780+0+37773+6027+4621+8686+44111+430217+8673+7644+10658+6192+0)/1000</f>
        <v>29014.379000000001</v>
      </c>
      <c r="E32" s="43">
        <f t="shared" si="0"/>
        <v>29081.884000000002</v>
      </c>
      <c r="F32" s="43">
        <f>(12084+31610+13907+13076+15807+13468+41510+0+0+61007+34218+11786+0+16183+3191+6144+36546+14182+12761+0+108673+1636887+0+0+0+0+37034+5496+0+8984+39238+0+0+5337+8418+5387+0)/1000</f>
        <v>2192.9340000000002</v>
      </c>
      <c r="G32" s="18">
        <f>IF(AND(F64&lt;&gt;0,F32&lt;&gt;0),IF(100*F32/F64&lt;0.005,"*",100*F32/F64),0)</f>
        <v>0.34090033125363411</v>
      </c>
    </row>
    <row r="33" spans="1:7" x14ac:dyDescent="0.2">
      <c r="A33" s="11" t="s">
        <v>138</v>
      </c>
      <c r="B33" s="43">
        <f>(20409+76980+28091+29013+18906+25546+78884+77333+10015+0+56627+25778+31643479+28972+10595+10829+59018+20103+20286+9347458+87084+1217420+2887+10730+13331+0+76001+17303+14796+13946+35167+334589+45140+8223+11004+10066+0)/1000</f>
        <v>43486.008999999998</v>
      </c>
      <c r="C33" s="43">
        <f>(0+10081+5799+0+19+0+0+0+0+0+0+0+0+0+0+0+0+0+0+0+0+0+0+0+4890+108938+1978+280+650+1+3279+84228+22198+246+330+0+0)/1000</f>
        <v>242.917</v>
      </c>
      <c r="D33" s="43">
        <f>(21851+72971+20519+31278+26238+19620+81202+74694+10417+0+56636+26070+32334724+32125+10595+10559+59502+21384+23251+9377354+92167+1382149+0+0+13620+0+80267+15927+15410+13954+41489+302466+24048+7964+10658+10941+0)/1000</f>
        <v>44322.05</v>
      </c>
      <c r="E33" s="43">
        <f t="shared" si="0"/>
        <v>44564.967000000004</v>
      </c>
      <c r="F33" s="43">
        <f>(22791+83825+26349+33446+25933+21125+81753+0+0+86079+51141+26058+0+32125+10595+12389+59115+22302+25857+0+81441+1798757+0+0+4996+0+78697+14523+0+14433+36905+0+0+5561+8418+9519+0)/1000</f>
        <v>2674.1329999999998</v>
      </c>
      <c r="G33" s="18">
        <f>IF(AND(F64&lt;&gt;0,F33&lt;&gt;0),IF(100*F33/F64&lt;0.005,"*",100*F33/F64),0)</f>
        <v>0.4157046338450105</v>
      </c>
    </row>
    <row r="34" spans="1:7" x14ac:dyDescent="0.2">
      <c r="A34" s="11" t="s">
        <v>139</v>
      </c>
      <c r="B34" s="43">
        <f>(40730+107382+49713+13138+29557+22677+82056+136383+13136+0+43762+54185+13895655+46783+2580+16015+41019+54133+38970+14595279+78194+3083534+9249+17925+20291+0+144515+16443+6361+23591+39044+357745+132511+7879+12756+5308+0)/1000</f>
        <v>33238.499000000003</v>
      </c>
      <c r="C34" s="43">
        <f>(0+14063+10262+0+29+0+0+0+0+0+0+0+0+0+0+0+0+0+0+0+0+0+0+0+1490+0+3724+266+279+70+1000+42926+65164+236+382+0+0)/1000</f>
        <v>139.89099999999999</v>
      </c>
      <c r="D34" s="43">
        <f>(43609+101790+36313+14163+41020+28512+85973+138969+14943+0+43769+54798+14068959+52685+2580+15617+41656+57582+44666+14641959+83404+3201992+0+0+21563+0+151092+15135+6625+23673+49361+368612+70594+7644+12355+5769+0)/1000</f>
        <v>33547.381999999998</v>
      </c>
      <c r="E34" s="43">
        <f t="shared" si="0"/>
        <v>33687.273000000001</v>
      </c>
      <c r="F34" s="43">
        <f>(45483+116930+46631+15146+40543+31606+87904+0+0+169634+39523+54774+0+52685+2580+18322+41112+60054+49673+0+73884+3094560+0+0+1583+0+148136+13801+0+24486+43908+0+0+5337+9758+5019+0)/1000</f>
        <v>4293.0720000000001</v>
      </c>
      <c r="G34" s="18">
        <f>IF(AND(F64&lt;&gt;0,F34&lt;&gt;0),IF(100*F34/F64&lt;0.005,"*",100*F34/F64),0)</f>
        <v>0.66737515442585205</v>
      </c>
    </row>
    <row r="35" spans="1:7" x14ac:dyDescent="0.2">
      <c r="A35" s="11" t="s">
        <v>140</v>
      </c>
      <c r="B35" s="43">
        <f>(5573+21759+9455+4830+9759+11426+50130+44616+9857+0+38394+12939+27292634+10208+4582+5593+20472+15534+3590+6537095+44854+1198947+1101+10970+13323+0+96412+13004+10558+10517+23399+197261+25761+16039+11004+4498+0)/1000</f>
        <v>35786.093999999997</v>
      </c>
      <c r="C35" s="43">
        <f>(0+2850+1952+0+10+0+0+0+0+0+0+0+0+0+0+0+0+0+0+0+0+0+0+0+0+0+2502+210+263+1+1500+27877+12668+481+330+0+0)/1000</f>
        <v>50.643999999999998</v>
      </c>
      <c r="D35" s="43">
        <f>(5967+20626+6906+5207+13544+11713+51601+46125+10299+0+38400+13085+27888638+11200+4582+5453+20776+16524+4115+6558003+47372+1285310+0+0+12819+0+101515+11970+10996+10524+11862+184140+13724+15560+10658+4890+0)/1000</f>
        <v>36454.103999999999</v>
      </c>
      <c r="E35" s="43">
        <f t="shared" si="0"/>
        <v>36504.748</v>
      </c>
      <c r="F35" s="43">
        <f>(6223+23694+8869+5568+13386+12580+51953+0+0+55389+34675+13079+0+11200+4582+6398+20723+17234+4576+0+52758+1316099+0+0+0+0+99529+10915+0+10886+10552+0+0+10865+8418+4254+0)/1000</f>
        <v>1814.405</v>
      </c>
      <c r="G35" s="18">
        <f>IF(AND(F64&lt;&gt;0,F35&lt;&gt;0),IF(100*F35/F64&lt;0.005,"*",100*F35/F64),0)</f>
        <v>0.28205648940107181</v>
      </c>
    </row>
    <row r="36" spans="1:7" x14ac:dyDescent="0.2">
      <c r="A36" s="11" t="s">
        <v>141</v>
      </c>
      <c r="B36" s="43">
        <f>(100527+268307+143231+88238+167400+64594+381858+366132+45227+0+402702+191825+124095754+91464+26374+45317+178713+121068+83591+43841952+519667+9953431+41566+85644+100945+0+829900+168730+88748+99044+48424+1065831+645513+65585+18780+42743+0)/1000</f>
        <v>184478.82500000001</v>
      </c>
      <c r="C36" s="43">
        <f>(0+35138+29567+0+166+0+0+0+0+0+0+0+0+0+0+0+0+0+0+0+0+0+0+0+38202+0+21355+2728+2897+537+2750+106625+317439+1968+563+0+0)/1000</f>
        <v>559.93499999999995</v>
      </c>
      <c r="D36" s="43">
        <f>(107632+254335+104624+95125+232320+62582+393060+369115+45226+0+402765+193995+121729563+100898+26374+44190+187392+128782+95808+43982172+548839+10324962+0+0+66723+0+866415+155314+92431+99633+26199+1021967+343892+63626+18189+46462+0)/1000</f>
        <v>182230.61</v>
      </c>
      <c r="E36" s="43">
        <f t="shared" si="0"/>
        <v>182790.54499999998</v>
      </c>
      <c r="F36" s="43">
        <f>(112259+292164+134350+101721+229623+66872+395747+0+0+431441+363690+193908+0+100898+26374+51845+186399+134311+106548+0+542976+10681302+0+0+25251+0+849469+141619+0+103056+23304+0+0+44430+14367+40422+0)/1000</f>
        <v>15394.346</v>
      </c>
      <c r="G36" s="18">
        <f>IF(AND(F64&lt;&gt;0,F36&lt;&gt;0),IF(100*F36/F64&lt;0.005,"*",100*F36/F64),0)</f>
        <v>2.3931124469925025</v>
      </c>
    </row>
    <row r="37" spans="1:7" x14ac:dyDescent="0.2">
      <c r="A37" s="11" t="s">
        <v>142</v>
      </c>
      <c r="B37" s="43">
        <f>(43146+101517+31284+34211+26161+26189+96223+129745+16431+0+109920+31199+19923754+43417+8308+11304+73767+19366+22703+10165299+101350+4303472+4260+13694+18502+0+85321+13944+10149+12827+26350+407040+81876+9327+12749+38080+0)/1000</f>
        <v>36052.885000000002</v>
      </c>
      <c r="C37" s="43">
        <f>(0+13295+6458+0+26+0+0+0+0+0+0+0+0+0+0+0+0+0+0+0+0+0+0+0+337+0+2211+225+435+1+3259+8672+40263+236+330+0+0)/1000</f>
        <v>75.748000000000005</v>
      </c>
      <c r="D37" s="43">
        <f>(46195+96231+22851+36881+36307+27300+99050+130618+17145+0+109937+31552+21746827+47111+8307+11023+75392+20600+26021+10197811+107040+5234838+0+0+18466+0+89711+12835+10570+12834+36716+366652+43619+7644+10658+41393+0)/1000</f>
        <v>38780.135000000002</v>
      </c>
      <c r="E37" s="43">
        <f t="shared" si="0"/>
        <v>38855.883000000002</v>
      </c>
      <c r="F37" s="43">
        <f>(48181+110544+29344+39438+35885+29485+99723+0+0+153357+99271+31538+0+47111+8307+12932+75160+21484+28938+0+101529+5410986+0+0+337+0+87956+11704+0+13275+32659+0+0+5337+8418+36012+0)/1000</f>
        <v>6578.9110000000001</v>
      </c>
      <c r="G37" s="18">
        <f>IF(AND(F64&lt;&gt;0,F37&lt;&gt;0),IF(100*F37/F64&lt;0.005,"*",100*F37/F64),0)</f>
        <v>1.0227179382453722</v>
      </c>
    </row>
    <row r="38" spans="1:7" x14ac:dyDescent="0.2">
      <c r="A38" s="11" t="s">
        <v>143</v>
      </c>
      <c r="B38" s="43">
        <f>(271487+819606+434524+243813+350416+160156+801337+1219497+148453+0+2434869+304952+372460842+226910+101984+96441+592047+369648+126615+96632335+1473123+42373210+146883+393676+507255+0+2745691+1176715+637979+175202+147896+1967277+1664671+177146+44938+70204+0)/1000</f>
        <v>531497.79799999995</v>
      </c>
      <c r="C38" s="43">
        <f>(0+107336+89697+0+348+0+0+0+0+0+0+0+0+0+0+0+0+0+0+0+0+0+0+0+20481+0+70583+19024+25011+1425+6297+358525+818621+5315+1346+0+0)/1000</f>
        <v>1524.009</v>
      </c>
      <c r="D38" s="43">
        <f>(290675+776926+317399+262844+486311+147998+824854+1197143+140907+0+2435256+308402+377312676+261832+101984+94043+617946+393200+145120+96941394+1555817+47759237+0+0+317286+0+2863656+1083153+664451+176719+120934+1714391+886840+171858+43526+76312+0)/1000</f>
        <v>540491.09</v>
      </c>
      <c r="E38" s="43">
        <f t="shared" ref="E38:E63" si="1">SUM(C38:D38)</f>
        <v>542015.09899999993</v>
      </c>
      <c r="F38" s="43">
        <f>(303171+892483+407581+281068+480666+157558+830483+0+0+1417885+2198987+308262+0+261832+101984+110333+615451+410081+161389+0+1497405+48585670+0+0+12811+0+2807646+987645+0+182791+107573+0+0+120012+34380+66391+0)/1000</f>
        <v>63341.538</v>
      </c>
      <c r="G38" s="18">
        <f>IF(AND(F64&lt;&gt;0,F38&lt;&gt;0),IF(100*F38/F64&lt;0.005,"*",100*F38/F64),0)</f>
        <v>9.8466945591224597</v>
      </c>
    </row>
    <row r="39" spans="1:7" x14ac:dyDescent="0.2">
      <c r="A39" s="11" t="s">
        <v>144</v>
      </c>
      <c r="B39" s="43">
        <f>(140626+391380+181084+100966+133772+110913+355552+466200+52478+0+300438+108928+96714462+170974+69639+53065+226397+111976+64880+50013830+500692+9699171+41396+44450+134107+0+415730+117258+65692+48508+80887+1491713+177441+29017+33792+51317+0)/1000</f>
        <v>162698.731</v>
      </c>
      <c r="C39" s="43">
        <f>(0+51255+37380+0+133+0+0+0+0+0+0+0+0+0+0+0+0+0+0+0+0+0+0+0+22329+710711+10707+1896+2884+416+7450+26207+87259+869+1012+0+0)/1000</f>
        <v>960.50800000000004</v>
      </c>
      <c r="D39" s="43">
        <f>(150565+370999+132273+108847+185650+121201+372501+475605+58077+0+300485+110161+103021488+189028+69639+51746+233964+119111+74362+50173789+528799+10511204+0+0+69191+0+434388+107935+68418+48949+91967+1076992+94530+28101+32730+55781+0)/1000</f>
        <v>169468.476</v>
      </c>
      <c r="E39" s="43">
        <f t="shared" si="1"/>
        <v>170428.984</v>
      </c>
      <c r="F39" s="43">
        <f>(157038+426181+169856+116394+183495+131964+375013+0+0+563064+271332+110111+0+189028+69639+60709+231909+124225+82699+0+639568+10506386+0+0+11520+0+425892+98418+0+50631+81806+0+0+19622+25852+48529+0)/1000</f>
        <v>15170.880999999999</v>
      </c>
      <c r="G39" s="18">
        <f>IF(AND(F64&lt;&gt;0,F39&lt;&gt;0),IF(100*F39/F64&lt;0.005,"*",100*F39/F64),0)</f>
        <v>2.3583739220192963</v>
      </c>
    </row>
    <row r="40" spans="1:7" x14ac:dyDescent="0.2">
      <c r="A40" s="11" t="s">
        <v>145</v>
      </c>
      <c r="B40" s="43">
        <f>(6156+22147+9546+9509+11477+10869+32462+39467+9857+0+26313+12591+20871881+8960+2506+4278+24074+13923+7994+3677460+26680+779781+875+9848+5523+0+41810+4266+3364+6742+45892+281551+23331+7879+11004+1282+0)/1000</f>
        <v>26051.297999999999</v>
      </c>
      <c r="C40" s="43">
        <f>(0+2900+1971+0+11+0+0+0+0+0+0+0+0+0+0+0+0+0+0+0+0+0+0+0+0+0+1047+69+147+1+1200+0+11473+236+330+0+0)/1000</f>
        <v>19.385000000000002</v>
      </c>
      <c r="D40" s="43">
        <f>(6591+20994+6973+10251+15928+11173+34006+40347+10299+0+26317+12733+21327671+9661+2506+4172+24705+14810+9162+3689223+28532+850163+0+0+5680+0+42494+3927+3504+6746+69306+260490+12429+7644+10658+1394+0)/1000</f>
        <v>26580.489000000001</v>
      </c>
      <c r="E40" s="43">
        <f t="shared" si="1"/>
        <v>26599.874</v>
      </c>
      <c r="F40" s="43">
        <f>(6874+24116+8954+10962+15743+12075+34775+0+0+48583+23764+12727+0+9661+2506+4894+24643+15446+10190+0+27060+873554+0+0+0+0+41663+3580+0+6978+61649+0+0+5337+8418+1213+0)/1000</f>
        <v>1295.365</v>
      </c>
      <c r="G40" s="18">
        <f>IF(AND(F64&lt;&gt;0,F40&lt;&gt;0),IF(100*F40/F64&lt;0.005,"*",100*F40/F64),0)</f>
        <v>0.20136965252687208</v>
      </c>
    </row>
    <row r="41" spans="1:7" x14ac:dyDescent="0.2">
      <c r="A41" s="11" t="s">
        <v>146</v>
      </c>
      <c r="B41" s="43">
        <f>(125912+359773+142394+94275+123972+99549+460721+581146+74458+0+725566+201029+155039123+169774+70125+59865+368200+182910+164030+56757316+520821+16630159+24865+54325+159154+0+610747+216637+107602+68667+61848+1732940+272501+90352+27674+65210+0)/1000</f>
        <v>236443.64</v>
      </c>
      <c r="C41" s="43">
        <f>(0+47116+29394+0+123+0+0+0+0+0+0+0+0+0+0+0+0+0+0+0+0+0+0+0+27696+12305+15711+3502+3725+24+6400+16498+134005+2711+829+0+0)/1000</f>
        <v>300.03899999999999</v>
      </c>
      <c r="D41" s="43">
        <f>(134811+341038+104012+101634+172050+138485+474262+592541+75789+0+725681+203303+156594877+187915+70125+58377+376747+194564+188003+56938842+550058+18138259+0+0+132606+0+637417+199412+112067+68727+83954+1357211+145172+87653+26804+70883+0)/1000</f>
        <v>239283.27900000001</v>
      </c>
      <c r="E41" s="43">
        <f t="shared" si="1"/>
        <v>239583.318</v>
      </c>
      <c r="F41" s="43">
        <f>(140607+391763+133565+108680+170052+148692+477479+0+0+697283+655275+203212+0+187915+70125+68489+375301+202917+209080+0+482911+19162496+0+0+23077+0+624950+181829+0+71088+74678+0+0+61207+21172+61668+0)/1000</f>
        <v>25005.510999999999</v>
      </c>
      <c r="G41" s="18">
        <f>IF(AND(F64&lt;&gt;0,F41&lt;&gt;0),IF(100*F41/F64&lt;0.005,"*",100*F41/F64),0)</f>
        <v>3.8872063559899157</v>
      </c>
    </row>
    <row r="42" spans="1:7" x14ac:dyDescent="0.2">
      <c r="A42" s="11" t="s">
        <v>147</v>
      </c>
      <c r="B42" s="43">
        <f>(56548+157348+24935+62246+32130+42141+156666+190662+25123+0+144793+38853+38178836+74090+24910+21755+129917+69887+83442+19136527+233625+3195905+8586+17929+27239+0+145298+47281+26036+20515+55147+806841+57812+14138+16027+37859+0)/1000</f>
        <v>63361.046999999999</v>
      </c>
      <c r="C42" s="43">
        <f>(0+20606+5147+0+32+0+0+0+0+0+0+0+0+0+0+0+0+0+0+0+0+0+0+0+0+36353+3724+764+1143+130+3382+52151+28430+389+467+0+0)/1000</f>
        <v>152.71799999999999</v>
      </c>
      <c r="D42" s="43">
        <f>(60545+149154+18214+67105+44590+47904+161933+200023+26998+0+144816+39293+43890527+80014+24910+21213+135464+74340+95638+19197732+246739+3562491+0+0+28612+0+151092+43521+27117+20656+42057+652814+30799+12579+15110+41153+0)/1000</f>
        <v>69355.153000000006</v>
      </c>
      <c r="E42" s="43">
        <f t="shared" si="1"/>
        <v>69507.870999999999</v>
      </c>
      <c r="F42" s="43">
        <f>(63148+171339+23389+71757+44073+51690+163027+0+0+233401+130766+39275+0+80014+24910+24888+134172+77531+106359+0+243805+3853418+0+0+0+0+148136+39684+0+21366+37411+0+0+8784+11934+35803+0)/1000</f>
        <v>5840.08</v>
      </c>
      <c r="G42" s="18">
        <f>IF(AND(F64&lt;&gt;0,F42&lt;&gt;0),IF(100*F42/F64&lt;0.005,"*",100*F42/F64),0)</f>
        <v>0.90786371434239399</v>
      </c>
    </row>
    <row r="43" spans="1:7" x14ac:dyDescent="0.2">
      <c r="A43" s="11" t="s">
        <v>148</v>
      </c>
      <c r="B43" s="43">
        <f>(38524+111838+65238+33846+119212+60602+135895+145184+19869+0+165836+84162+35866000+56356+19409+20310+107057+97734+39564+20168172+370148+7245419+4116+29716+35616+0+295702+20704+10540+45550+56748+503435+213262+18130+14478+22326+0)/1000</f>
        <v>66240.698000000004</v>
      </c>
      <c r="C43" s="43">
        <f>(0+14646+13467+0+118+0+0+0+0+0+0+0+0+0+0+0+0+0+0+0+0+0+0+0+0+0+7623+335+463+46+3075+76588+104874+544+434+0+0)/1000</f>
        <v>222.21299999999999</v>
      </c>
      <c r="D43" s="43">
        <f>(41247+106014+47653+36488+165444+43325+136479+150325+20432+0+165862+85114+38364219+61756+19409+19805+104575+103961+45346+20232677+511303+8011013+0+0+36226+0+309265+19058+10978+45620+56702+507483+113613+17589+14022+24268+0)/1000</f>
        <v>69627.270999999993</v>
      </c>
      <c r="E43" s="43">
        <f t="shared" si="1"/>
        <v>69849.483999999997</v>
      </c>
      <c r="F43" s="43">
        <f>(43020+121782+61193+39018+163523+47103+140838+0+0+174726+149770+85076+0+61756+19409+23235+104032+108424+50430+0+475312+8343426+0+0+0+0+303217+17378+0+47187+50437+0+0+12282+11076+21113+0)/1000</f>
        <v>10674.763000000001</v>
      </c>
      <c r="G43" s="18">
        <f>IF(AND(F64&lt;&gt;0,F43&lt;&gt;0),IF(100*F43/F64&lt;0.005,"*",100*F43/F64),0)</f>
        <v>1.6594344575596152</v>
      </c>
    </row>
    <row r="44" spans="1:7" x14ac:dyDescent="0.2">
      <c r="A44" s="11" t="s">
        <v>149</v>
      </c>
      <c r="B44" s="43">
        <f>(132453+412137+181839+124910+199034+156359+449732+630162+76769+0+717125+214188+206608611+152413+55337+61129+343775+168600+100421+62340876+668188+19266813+39127+80255+231611+0+676813+373968+165836+116147+101820+1796401+447810+63575+33883+61917+0)/1000</f>
        <v>297250.03399999999</v>
      </c>
      <c r="C44" s="43">
        <f>(0+53974+37536+0+198+0+0+0+0+0+0+0+0+0+0+0+0+0+0+0+0+0+0+0+3912+0+17399+6046+5781+755+6750+145006+220216+1907+1015+0+0)/1000</f>
        <v>500.495</v>
      </c>
      <c r="D44" s="43">
        <f>(141814+390675+132825+134660+276222+132750+462948+663422+76705+0+717239+216611+202960781+170245+55337+59609+351890+179342+115098+62540261+705698+21162686+0+0+189772+0+705881+344233+172718+116963+79953+1672585+238567+61676+32818+67304+0)/1000</f>
        <v>295329.288</v>
      </c>
      <c r="E44" s="43">
        <f t="shared" si="1"/>
        <v>295829.783</v>
      </c>
      <c r="F44" s="43">
        <f>(147911+448783+170564+143996+273015+142017+466090+0+0+783344+647652+216513+0+170245+55337+69934+350083+187042+128001+0+675623+21220959+0+0+3206+0+692074+313880+0+120982+71119+0+0+43067+25921+58554+0)/1000</f>
        <v>27625.912</v>
      </c>
      <c r="G44" s="18">
        <f>IF(AND(F64&lt;&gt;0,F44&lt;&gt;0),IF(100*F44/F64&lt;0.005,"*",100*F44/F64),0)</f>
        <v>4.2945581362611671</v>
      </c>
    </row>
    <row r="45" spans="1:7" x14ac:dyDescent="0.2">
      <c r="A45" s="11" t="s">
        <v>150</v>
      </c>
      <c r="B45" s="43">
        <f>(10581+31906+17087+8925+17496+13107+46198+54762+9857+0+94292+12452+23694327+11898+6634+4710+33775+12229+8651+5158614+92975+1678591+5291+17302+12072+0+88239+42252+22609+12074+1483+238524+61109+10777+11004+3566+0)/1000</f>
        <v>31545.368999999999</v>
      </c>
      <c r="C45" s="43">
        <f>(0+4178+3527+0+17+0+0+0+0+0+0+0+0+0+0+0+0+0+0+0+0+0+0+0+0+0+2269+683+892+2+0+80732+30051+323+330+0+0)/1000</f>
        <v>123.004</v>
      </c>
      <c r="D45" s="43">
        <f>(11329+30245+12481+9622+24281+11173+47553+55673+10299+0+94307+12592+24211731+13066+6634+4593+34031+13008+9916+5175113+98195+1502030+0+0+16915+0+92071+38893+23548+12081+30255+243255+32555+10455+10658+3876+0)/1000</f>
        <v>31902.434000000001</v>
      </c>
      <c r="E45" s="43">
        <f t="shared" si="1"/>
        <v>32025.438000000002</v>
      </c>
      <c r="F45" s="43">
        <f>(11816+34743+16028+10289+23999+12075+47878+0+0+66282+85157+12587+0+13066+6634+5388+33902+13567+11027+0+83951+1555711+0+0+0+0+90271+35463+0+12496+26912+0+0+7300+8418+3372+0)/1000</f>
        <v>2228.3319999999999</v>
      </c>
      <c r="G45" s="18">
        <f>IF(AND(F64&lt;&gt;0,F45&lt;&gt;0),IF(100*F45/F64&lt;0.005,"*",100*F45/F64),0)</f>
        <v>0.34640309144874992</v>
      </c>
    </row>
    <row r="46" spans="1:7" x14ac:dyDescent="0.2">
      <c r="A46" s="11" t="s">
        <v>151</v>
      </c>
      <c r="B46" s="43">
        <f>(84386+219728+81977+35173+26786+66608+186823+255374+28640+0+99638+78648+45509795+92032+9867+24803+125026+42269+23973+24460011+184648+4747256+30530+25203+36181+0+178234+55006+31693+27592+70918+755820+65031+16442+14231+14349+0)/1000</f>
        <v>77704.691000000006</v>
      </c>
      <c r="C46" s="43">
        <f>(0+28776+16922+0+27+0+0+0+0+0+0+0+0+0+0+0+0+0+0+0+0+0+0+0+0+229665+4597+889+1192+282+1100+75663+31980+493+427+0+0)/1000</f>
        <v>392.01299999999998</v>
      </c>
      <c r="D46" s="43">
        <f>(90350+208286+59880+37918+37174+64103+192315+276252+31834+0+99654+79537+49004387+101832+9867+24186+128397+44962+27477+24538241+335678+4814339+0+0+38920+0+186504+50632+33008+27889+71792+687690+34645+15951+13803+15598+0)/1000</f>
        <v>81383.100999999995</v>
      </c>
      <c r="E46" s="43">
        <f t="shared" si="1"/>
        <v>81775.114000000001</v>
      </c>
      <c r="F46" s="43">
        <f>(94234+239266+76894+40547+36742+69835+193619+0+0+330403+89985+79501+0+101832+9867+28375+127692+46892+30557+0+195538+4752604+0+0+0+55634+182856+46167+0+28847+63860+0+0+11138+10902+13570+0)/1000</f>
        <v>6957.357</v>
      </c>
      <c r="G46" s="18">
        <f>IF(AND(F64&lt;&gt;0,F46&lt;&gt;0),IF(100*F46/F64&lt;0.005,"*",100*F46/F64),0)</f>
        <v>1.0815488774170996</v>
      </c>
    </row>
    <row r="47" spans="1:7" x14ac:dyDescent="0.2">
      <c r="A47" s="11" t="s">
        <v>152</v>
      </c>
      <c r="B47" s="43">
        <f>(7212+28078+14968+8154+8716+10869+37703+48946+9857+0+21207+7579+18822991+13062+1711+5128+27810+7392+5552+4233772+31233+581879+2019+9025+7242+0+33403+3465+2739+4598+35369+352327+15753+7879+11004+7065+0)/1000</f>
        <v>24425.706999999999</v>
      </c>
      <c r="C47" s="43">
        <f>(0+3677+3090+0+9+0+0+0+0+0+0+0+0+0+0+0+0+0+0+0+0+0+0+0+335+0+874+56+121+0+10360+72926+7747+236+330+0+0)/1000</f>
        <v>99.760999999999996</v>
      </c>
      <c r="D47" s="43">
        <f>(7722+26616+10933+8790+12096+11173+39046+50504+10299+0+21211+7665+19234040+14434+1711+5000+28127+7863+6364+4247314+33213+649467+0+0+7209+0+35412+3189+2853+4600+29154+299836+8392+7644+10658+7680+0)/1000</f>
        <v>24850.215</v>
      </c>
      <c r="E47" s="43">
        <f t="shared" si="1"/>
        <v>24949.975999999999</v>
      </c>
      <c r="F47" s="43">
        <f>(8054+30575+14040+9400+11956+12075+39370+0+0+61007+19153+7661+0+14434+1711+5866+28066+8201+7077+0+29712+682143+0+0+334+0+34719+2908+0+4758+25933+0+0+5337+8418+6682+0)/1000</f>
        <v>1079.5899999999999</v>
      </c>
      <c r="G47" s="18">
        <f>IF(AND(F64&lt;&gt;0,F47&lt;&gt;0),IF(100*F47/F64&lt;0.005,"*",100*F47/F64),0)</f>
        <v>0.16782656870572063</v>
      </c>
    </row>
    <row r="48" spans="1:7" x14ac:dyDescent="0.2">
      <c r="A48" s="11" t="s">
        <v>153</v>
      </c>
      <c r="B48" s="43">
        <f>(111882+279448+110848+67830+79676+54964+250893+308799+37879+0+190892+93319+65675797+118368+37702+33794+178918+61197+60794+32695258+234625+7168469+18568+28078+50240+0+254293+89145+61306+29196+86121+985863+95443+23356+19113+86650+0)/1000</f>
        <v>109678.724</v>
      </c>
      <c r="C48" s="43">
        <f>(0+36597+22882+0+79+0+0+0+0+0+0+0+0+0+0+0+0+0+0+0+0+0+0+0+0+0+6517+1441+2491+13+4000+75106+46935+700+573+0+0)/1000</f>
        <v>197.334</v>
      </c>
      <c r="D48" s="43">
        <f>(119789+264896+80969+73124+110575+80877+258272+328294+41669+0+190922+94374+72424215+131824+37702+32954+180745+65097+69680+32799827+247943+8312257+0+0+51954+0+264410+82057+63850+29225+73705+848826+50847+22618+18512+94189+0)/1000</f>
        <v>117546.198</v>
      </c>
      <c r="E48" s="43">
        <f t="shared" si="1"/>
        <v>117743.53200000001</v>
      </c>
      <c r="F48" s="43">
        <f>(124939+304296+103975+78195+109292+87644+260019+0+0+389537+172399+94332+0+131824+37702+38662+179982+67891+77491+0+202244+8776314+0+0+0+0+259239+74821+0+30229+65562+0+0+15794+14622+81944+0)/1000</f>
        <v>11778.949000000001</v>
      </c>
      <c r="G48" s="18">
        <f>IF(AND(F64&lt;&gt;0,F48&lt;&gt;0),IF(100*F48/F64&lt;0.005,"*",100*F48/F64),0)</f>
        <v>1.8310845725040801</v>
      </c>
    </row>
    <row r="49" spans="1:7" x14ac:dyDescent="0.2">
      <c r="A49" s="11" t="s">
        <v>154</v>
      </c>
      <c r="B49" s="43">
        <f>(622478+1576613+486646+437394+208414+248761+1075096+1512298+184124+0+484652+293712+161043673+544601+59844+172123+675897+217839+150227+137794559+1510172+24254323+109459+174605+273805+652175+1241178+164490+106649+130679+261112+3978556+406303+73356+86205+277324+0)/1000</f>
        <v>341489.342</v>
      </c>
      <c r="C49" s="43">
        <f>(0+206474+100456+0+207+0+0+0+0+0+0+0+0+0+0+0+0+0+0+0+0+0+0+0+22613+4668739+31888+2659+4183+240+13225+437421+199804+2201+2583+0+0)/1000</f>
        <v>5692.6930000000002</v>
      </c>
      <c r="D49" s="43">
        <f>(666473+1494512+355472+471535+289239+287842+1126359+1628805+204353+0+484729+297034+163052186+594694+59844+167843+701872+231718+172184+138235267+1601525+26384397+0+0+227742+0+1293721+151411+111075+130987+280176+3694889+216454+71165+83515+301451+0)/1000</f>
        <v>345070.46899999998</v>
      </c>
      <c r="E49" s="43">
        <f t="shared" si="1"/>
        <v>350763.16200000001</v>
      </c>
      <c r="F49" s="43">
        <f>(695125+1716801+456471+504229+285882+314708+1133942+0+0+1956280+437701+296900+0+594694+59844+196916+698547+241666+191487+0+1397160+27538034+0+0+18809+0+1268417+138060+0+135487+249221+0+0+49694+65966+262262+0)/1000</f>
        <v>40904.303</v>
      </c>
      <c r="G49" s="18">
        <f>IF(AND(F64&lt;&gt;0,F49&lt;&gt;0),IF(100*F49/F64&lt;0.005,"*",100*F49/F64),0)</f>
        <v>6.3587369443854751</v>
      </c>
    </row>
    <row r="50" spans="1:7" x14ac:dyDescent="0.2">
      <c r="A50" s="11" t="s">
        <v>155</v>
      </c>
      <c r="B50" s="43">
        <f>(22845+101074+38899+27866+18359+35086+121521+81619+14195+0+75356+27934+25319266+58268+12592+21792+76789+28383+11750+15100576+135050+2022162+6433+12131+23072+0+84623+4382+3847+22522+70071+383367+10974+8457+11004+38862+0)/1000</f>
        <v>44031.127</v>
      </c>
      <c r="C50" s="43">
        <f>(0+13237+8030+0+18+0+0+0+0+0+0+0+0+0+0+0+0+0+0+0+0+0+0+0+702+0+2153+71+169+1+7500+33914+5397+254+330+0+0)/1000</f>
        <v>71.775999999999996</v>
      </c>
      <c r="D50" s="43">
        <f>(24460+95811+28414+30041+25479+35396+127317+81915+14738+0+75368+28250+25872176+64668+12591+21250+73243+30191+13467+15148872+143321+2245857+0+0+21211+0+87350+4033+4007+22535+52221+354442+5846+8204+10658+42243+0)/1000</f>
        <v>44805.574999999997</v>
      </c>
      <c r="E50" s="43">
        <f t="shared" si="1"/>
        <v>44877.350999999995</v>
      </c>
      <c r="F50" s="43">
        <f>(25511+110061+36487+32124+25183+38851+128173+0+0+96306+68056+28237+0+64668+12591+24931+72955+31487+14977+0+113796+2282131+0+0+646+0+85641+3678+0+23309+46451+0+0+5729+8418+36751+0)/1000</f>
        <v>3417.1480000000001</v>
      </c>
      <c r="G50" s="18">
        <f>IF(AND(F64&lt;&gt;0,F50&lt;&gt;0),IF(100*F50/F64&lt;0.005,"*",100*F50/F64),0)</f>
        <v>0.53120927722525768</v>
      </c>
    </row>
    <row r="51" spans="1:7" x14ac:dyDescent="0.2">
      <c r="A51" s="11" t="s">
        <v>156</v>
      </c>
      <c r="B51" s="43">
        <f>(6545+15330+12037+6223+10136+13312+31299+36920+9857+0+47197+10689+20456801+6442+3945+2642+24996+11582+10398+3036134+28251+1079258+1234+10004+7703+0+62316+4021+2697+6786+20006+218046+21321+7879+11004+3128+0)/1000</f>
        <v>25236.138999999999</v>
      </c>
      <c r="C51" s="43">
        <f>(0+2008+2485+0+10+0+0+0+0+0+0+0+0+0+0+0+0+0+0+0+0+0+0+0+0+0+1629+65+118+0+5000+33493+10485+236+330+0+0)/1000</f>
        <v>55.859000000000002</v>
      </c>
      <c r="D51" s="43">
        <f>(7008+14532+8792+6709+14067+11173+32787+37853+10299+0+47204+10810+20903527+7057+3945+2577+23612+12320+11918+3045844+29836+1109055+0+0+8061+0+66103+3701+2809+6790+24272+208103+11358+7644+10658+3400+0)/1000</f>
        <v>25703.824000000001</v>
      </c>
      <c r="E51" s="43">
        <f t="shared" si="1"/>
        <v>25759.683000000001</v>
      </c>
      <c r="F51" s="43">
        <f>(7309+16693+11291+7174+13904+12075+33530+0+0+45525+42626+10806+0+7057+3945+3023+23461+12849+13254+0+25453+1075070+0+0+0+0+64810+3375+0+7023+21590+0+0+5337+8418+2958+0)/1000</f>
        <v>1478.556</v>
      </c>
      <c r="G51" s="18">
        <f>IF(AND(F64&lt;&gt;0,F51&lt;&gt;0),IF(100*F51/F64&lt;0.005,"*",100*F51/F64),0)</f>
        <v>0.22984742366940739</v>
      </c>
    </row>
    <row r="52" spans="1:7" x14ac:dyDescent="0.2">
      <c r="A52" s="11" t="s">
        <v>157</v>
      </c>
      <c r="B52" s="43">
        <f>(99049+262812+96009+50733+123222+78060+299991+279166+37837+0+157763+67828+91332916+99946+21329+42033+141691+65434+63078+41234387+378406+2776475+25588+47440+60841+0+454856+80115+45410+35895+54739+1231426+116480+32846+17954+34726+0)/1000</f>
        <v>139946.481</v>
      </c>
      <c r="C52" s="43">
        <f>(0+34418+19819+0+122+0+0+0+0+0+0+0+0+0+0+0+0+0+0+0+0+0+0+0+8591+0+11696+1295+1794+10+5250+45864+57281+986+538+0+0)/1000</f>
        <v>187.66399999999999</v>
      </c>
      <c r="D52" s="43">
        <f>(106049+249126+70130+54693+171009+75156+308813+276448+39112+0+157788+68595+95393440+113285+21329+40988+147617+69603+72297+41366267+410270+9554161+0+0+51693+0+474522+73745+47294+35923+78508+1025542+62054+31865+17389+37748+0)/1000</f>
        <v>150702.459</v>
      </c>
      <c r="E52" s="43">
        <f t="shared" si="1"/>
        <v>150890.12299999999</v>
      </c>
      <c r="F52" s="43">
        <f>(110609+286181+90056+58485+169024+81068+310902+0+0+327425+142479+68564+0+113285+21329+48088+147018+72591+80402+0+376176+10295895+0+0+7299+0+465241+67242+0+37157+69834+0+0+22251+13735+32841+0)/1000</f>
        <v>13515.177</v>
      </c>
      <c r="G52" s="18">
        <f>IF(AND(F64&lt;&gt;0,F52&lt;&gt;0),IF(100*F52/F64&lt;0.005,"*",100*F52/F64),0)</f>
        <v>2.1009881356445277</v>
      </c>
    </row>
    <row r="53" spans="1:7" x14ac:dyDescent="0.2">
      <c r="A53" s="11" t="s">
        <v>158</v>
      </c>
      <c r="B53" s="43">
        <f>(59232+204455+130568+46979+111431+68564+232882+256762+34073+0+379058+116681+57933683+84929+41883+38171+173889+93879+57463+36053194+236313+6517016+17428+56728+67656+0+641386+64735+31750+77962+78980+718299+351369+27908+24583+33900+0)/1000</f>
        <v>105063.789</v>
      </c>
      <c r="C53" s="43">
        <f>(0+26776+26953+0+111+0+0+0+0+0+0+0+0+0+0+0+0+0+0+0+0+0+0+0+4799+0+16468+1047+1394+900+6900+47776+172790+837+736+0+0)/1000</f>
        <v>307.48700000000002</v>
      </c>
      <c r="D53" s="43">
        <f>(63418+193808+95374+50646+154645+58681+241300+250009+33876+0+379118+118001+65779693+93857+41883+37222+171426+99861+65861+36168503+251250+9069170+0+0+55190+0+668108+59588+33068+78903+83132+698282+187189+27077+23811+36850+0)/1000</f>
        <v>115368.8</v>
      </c>
      <c r="E53" s="43">
        <f t="shared" si="1"/>
        <v>115676.287</v>
      </c>
      <c r="F53" s="43">
        <f>(66145+222635+122472+54157+152850+64002+242930+0+0+288564+342336+117948+0+93857+41883+43669+170668+104148+73245+0+309804+9069170+0+0+3914+0+655040+54334+0+81614+73947+0+0+18907+18807+32060+0)/1000</f>
        <v>12519.106</v>
      </c>
      <c r="G53" s="18">
        <f>IF(AND(F64&lt;&gt;0,F53&lt;&gt;0),IF(100*F53/F64&lt;0.005,"*",100*F53/F64),0)</f>
        <v>1.9461449283924452</v>
      </c>
    </row>
    <row r="54" spans="1:7" x14ac:dyDescent="0.2">
      <c r="A54" s="11" t="s">
        <v>159</v>
      </c>
      <c r="B54" s="43">
        <f>(42702+82357+32796+17174+18247+32388+80231+101309+15459+0+109813+25121+31110260+33073+8727+8515+72413+54514+45804+8840091+77391+3225046+5036+12672+20242+0+80993+21164+14139+10430+15928+499257+27328+25019+11007+13988+0)/1000</f>
        <v>44790.633999999998</v>
      </c>
      <c r="C54" s="43">
        <f>(0+10786+6770+0+18+0+0+0+0+0+0+0+0+0+0+0+0+0+0+0+0+0+0+0+0+0+2095+342+621+27+2300+84590+13439+751+330+0+0)/1000</f>
        <v>122.069</v>
      </c>
      <c r="D54" s="43">
        <f>(45720+78068+23956+18515+25323+27822+82585+101134+14937+0+109830+25405+31789631+37061+8727+8303+73924+57988+52499+8868365+81736+3377342+0+0+21451+0+84989+19481+14726+10463+22060+473619+14559+24272+10658+15205+0)/1000</f>
        <v>45620.353999999999</v>
      </c>
      <c r="E54" s="43">
        <f t="shared" si="1"/>
        <v>45742.423000000003</v>
      </c>
      <c r="F54" s="43">
        <f>(47686+89680+30762+19798+25029+29594+83149+0+0+118630+99174+25394+0+37061+8727+9742+73713+60477+58384+0+80315+3551649+0+0+0+106494+83327+17763+0+10822+19623+0+0+16949+8418+13228+0)/1000</f>
        <v>4725.5879999999997</v>
      </c>
      <c r="G54" s="18">
        <f>IF(AND(F64&lt;&gt;0,F54&lt;&gt;0),IF(100*F54/F64&lt;0.005,"*",100*F54/F64),0)</f>
        <v>0.7346114906185951</v>
      </c>
    </row>
    <row r="55" spans="1:7" x14ac:dyDescent="0.2">
      <c r="A55" s="11" t="s">
        <v>160</v>
      </c>
      <c r="B55" s="43">
        <f>(54948+173572+74488+38244+76350+64836+219604+207563+31588+0+312846+76520+104738764+74398+24511+29460+151144+70448+48245+28214006+272798+5701464+10674+17896+38173+0+170477+18745+24844+54346+65120+988167+117945+43389+18754+22987+0)/1000</f>
        <v>142247.31400000001</v>
      </c>
      <c r="C55" s="43">
        <f>(0+22731+15376+0+76+0+0+0+0+0+0+0+0+0+0+0+0+0+0+0+0+0+0+0+6303+15355+4364+303+890+6+3350+52090+58001+1302+562+0+0)/1000</f>
        <v>180.709</v>
      </c>
      <c r="D55" s="43">
        <f>(58832+164533+54410+41229+105959+64028+226055+206974+31145+0+312896+77386+106103137+82629+24511+28728+149965+74936+55296+28304242+288112+5939841+0+0+54801+0+177060+17254+25875+54380+56961+763105+62834+42093+18165+24987+0)/1000</f>
        <v>143692.359</v>
      </c>
      <c r="E55" s="43">
        <f t="shared" si="1"/>
        <v>143873.068</v>
      </c>
      <c r="F55" s="43">
        <f>(61361+189006+69869+44088+104729+68843+227591+0+0+242471+282538+77351+0+82629+24511+33704+149175+78153+61495+0+232075+6078338+0+0+9049+0+173597+15733+0+56248+50668+0+0+29393+14348+21739+0)/1000</f>
        <v>8478.7019999999993</v>
      </c>
      <c r="G55" s="18">
        <f>IF(AND(F64&lt;&gt;0,F55&lt;&gt;0),IF(100*F55/F64&lt;0.005,"*",100*F55/F64),0)</f>
        <v>1.3180480216918748</v>
      </c>
    </row>
    <row r="56" spans="1:7" x14ac:dyDescent="0.2">
      <c r="A56" s="11" t="s">
        <v>161</v>
      </c>
      <c r="B56" s="43">
        <f>(4225+14533+6178+4738+6905+10869+32836+38596+9857+0+18429+7499+9942610+6259+2815+3227+21439+4106+1051+2820264+13382+364945+750+8535+3465+0+15766+2203+1473+7560+30689+306761+14940+7879+11004+2005+0)/1000</f>
        <v>13747.793</v>
      </c>
      <c r="C56" s="43">
        <f>(0+1903+1275+0+7+0+0+0+0+0+0+0+0+0+0+0+0+0+0+0+0+0+0+0+0+0+407+36+66+0+2500+50039+7347+236+330+0+0)/1000</f>
        <v>64.146000000000001</v>
      </c>
      <c r="D56" s="43">
        <f>(4524+13776+4513+5108+9583+11173+34397+40125+10299+0+18432+7584+10005183+6666+2815+3147+20851+4367+1205+2829285+14133+389711+0+0+3968+0+16526+2028+1534+7564+34474+276204+7959+7644+10658+2179+0)/1000</f>
        <v>13807.615</v>
      </c>
      <c r="E56" s="43">
        <f t="shared" si="1"/>
        <v>13871.761</v>
      </c>
      <c r="F56" s="43">
        <f>(4718+15825+5795+5462+9472+12075+35176+0+0+48328+16643+7580+0+6666+2815+3691+20791+4555+1340+0+11642+397064+0+0+0+0+16202+1849+0+7824+30665+0+0+5337+8418+1896+0)/1000</f>
        <v>681.82899999999995</v>
      </c>
      <c r="G56" s="18">
        <f>IF(AND(F64&lt;&gt;0,F56&lt;&gt;0),IF(100*F56/F64&lt;0.005,"*",100*F56/F64),0)</f>
        <v>0.10599303579511926</v>
      </c>
    </row>
    <row r="57" spans="1:7" x14ac:dyDescent="0.2">
      <c r="A57" s="11" t="s">
        <v>162</v>
      </c>
      <c r="B57" s="43">
        <f>(0+0+6715+0+0+919+7130+19447+2574+0+0+0+302083+6789+0+0+4072+0+0+56656+4832+37706+51+2007+942+0+0+0+0+0+994+7071+0+8701+4145+0+0)/1000</f>
        <v>472.834</v>
      </c>
      <c r="C57" s="43">
        <f>(0+0+1386+0+0+0+0+0+0+0+0+0+0+0+0+0+0+0+0+0+0+0+0+0+3110+23039+0+0+0+0+0+920+0+261+124+0+0)/1000</f>
        <v>28.84</v>
      </c>
      <c r="D57" s="43">
        <f>(0+0+4905+0+0+932+7141+20008+2808+0+0+0+308683+7417+0+0+4145+0+0+56837+5103+84000+0+0+217+0+0+0+0+0+12438+6446+0+8440+4015+0+0)/1000</f>
        <v>533.53499999999997</v>
      </c>
      <c r="E57" s="43">
        <f t="shared" si="1"/>
        <v>562.375</v>
      </c>
      <c r="F57" s="43">
        <f>(0+0+6299+0+0+994+6965+0+0+23790+0+0+0+7417+0+0+4145+0+0+0+5389+84000+0+0+715+0+0+0+0+0+11064+0+0+5904+3171+0+0)/1000</f>
        <v>159.85300000000001</v>
      </c>
      <c r="G57" s="18">
        <f>IF(AND(F64&lt;&gt;0,F57&lt;&gt;0),IF(100*F57/F64&lt;0.005,"*",100*F57/F64),0)</f>
        <v>2.4849786018132407E-2</v>
      </c>
    </row>
    <row r="58" spans="1:7" x14ac:dyDescent="0.2">
      <c r="A58" s="11" t="s">
        <v>163</v>
      </c>
      <c r="B58" s="43">
        <f>(3611+9814+9615+418+2145+2076+16818+21071+3817+0+3454+5328+662307+9783+0+0+3838+0+0+274931+32227+111385+288+2308+3096+0+28837+5247+2306+0+18096+21052+3920+6296+3853+461+0)/1000</f>
        <v>1268.3979999999999</v>
      </c>
      <c r="C58" s="43">
        <f>(0+1285+1985+0+2+0+0+0+0+0+0+0+0+0+0+0+0+0+0+0+0+0+0+0+964+0+756+85+102+0+0+3504+1928+189+115+0+0)/1000</f>
        <v>10.914999999999999</v>
      </c>
      <c r="D58" s="43">
        <f>(3866+9303+7023+451+2977+3134+16877+21679+3885+0+3454+5389+676778+10688+0+0+3645+0+0+275810+34036+127000+0+0+2383+0+30690+4830+2402+0+7517+19268+2088+6107+3732+501+0)/1000</f>
        <v>1285.5129999999999</v>
      </c>
      <c r="E58" s="43">
        <f t="shared" si="1"/>
        <v>1296.4279999999999</v>
      </c>
      <c r="F58" s="43">
        <f>(4032+10687+9019+482+2942+3378+16961+0+0+25776+3119+5386+0+10688+0+0+3645+0+0+0+35947+127000+0+0+742+0+30090+4404+0+0+6687+0+0+4272+2947+436+0)/1000</f>
        <v>308.64</v>
      </c>
      <c r="G58" s="18">
        <f>IF(AND(F64&lt;&gt;0,F58&lt;&gt;0),IF(100*F58/F64&lt;0.005,"*",100*F58/F64),0)</f>
        <v>4.7979318227599016E-2</v>
      </c>
    </row>
    <row r="59" spans="1:7" x14ac:dyDescent="0.2">
      <c r="A59" s="11" t="s">
        <v>164</v>
      </c>
      <c r="B59" s="43">
        <f>(0+0+4320+0+0+854+5089+11755+1584+0+0+0+230037+4673+0+0+3425+0+0+54986+11196+49801+64+1908+967+0+2815+0+0+0+5715+1449+7721+4044+3245+449+0)/1000</f>
        <v>406.09699999999998</v>
      </c>
      <c r="C59" s="43">
        <f>(0+0+892+0+0+0+0+0+0+0+0+0+0+0+0+0+0+0+0+0+0+0+0+0+0+243946+59+0+0+0+0+555+3797+121+97+0+0)/1000</f>
        <v>249.46700000000001</v>
      </c>
      <c r="D59" s="43">
        <f>(0+0+3156+0+0+873+5050+12094+1727+0+0+0+235064+5416+0+0+3588+0+0+55162+11825+60000+0+0+961+0+2361+0+0+0+7365+1381+4113+3923+3143+488+0)/1000</f>
        <v>417.69</v>
      </c>
      <c r="E59" s="43">
        <f t="shared" si="1"/>
        <v>667.15700000000004</v>
      </c>
      <c r="F59" s="43">
        <f>(0+0+4052+0+0+943+5288+0+0+14380+0+0+0+5416+0+0+3524+0+0+0+12489+60000+0+0+0+0+2315+0+0+0+6552+0+0+2744+2482+425+0)/1000</f>
        <v>120.61</v>
      </c>
      <c r="G59" s="18">
        <f>IF(AND(F64&lt;&gt;0,F59&lt;&gt;0),IF(100*F59/F64&lt;0.005,"*",100*F59/F64),0)</f>
        <v>1.8749305246989107E-2</v>
      </c>
    </row>
    <row r="60" spans="1:7" x14ac:dyDescent="0.2">
      <c r="A60" s="11" t="s">
        <v>165</v>
      </c>
      <c r="B60" s="43">
        <f>(24189+101507+180771+22999+0+44857+128646+405828+57847+0+71326+23299+16440232+48727+0+0+309915+21171+1431+8247931+182575+2645565+42293+11722+54134+0+199606+289901+154393+12677+15271+235690+47708+21144+11107+5922+0)/1000</f>
        <v>30060.383999999998</v>
      </c>
      <c r="C60" s="43">
        <f>(0+13293+37316+0+0+0+0+0+0+0+0+0+0+0+0+0+0+0+0+0+0+0+0+0+6267+1700000+5121+4687+6278+0+0+203636+23461+628+330+0+0)/1000</f>
        <v>2001.0170000000001</v>
      </c>
      <c r="D60" s="43">
        <f>(25899+96221+132045+24794+0+67571+132433+390742+56168+0+71326+23562+16799446+49537+0+0+323534+22520+1640+8274310+192824+2623188+0+0+51666+0+207751+266851+161268+12683+12149+134479+25416+20308+10658+6437+0)/1000</f>
        <v>30217.425999999999</v>
      </c>
      <c r="E60" s="43">
        <f t="shared" si="1"/>
        <v>32218.442999999999</v>
      </c>
      <c r="F60" s="43">
        <f>(27012+110533+169562+26513+0+72081+133325+0+0+465063+64406+23552+0+49537+0+0+322844+23487+1824+0+93276+2719072+0+0+5981+15000000+203687+243321+0+13119+10806+0+0+14181+8418+5600+0)/1000</f>
        <v>19807.2</v>
      </c>
      <c r="G60" s="18">
        <f>IF(AND(F64&lt;&gt;0,F60&lt;&gt;0),IF(100*F60/F64&lt;0.005,"*",100*F60/F64),0)</f>
        <v>3.0791081907649667</v>
      </c>
    </row>
    <row r="61" spans="1:7" x14ac:dyDescent="0.2">
      <c r="A61" s="11" t="s">
        <v>166</v>
      </c>
      <c r="B61" s="43">
        <f>(0+0+0+0+0+0+6579+1000+0+0+0+0+0+0+0+0+0+0+0+0+0+0+50+100+0+0+0+0+0+0+9955+0+0+0+0+0+0)/1000</f>
        <v>17.684000000000001</v>
      </c>
      <c r="C61" s="43">
        <f>(0+0+0+0+0+0+0+0+0+0+0+0+0+0+0+0+0+0+0+0+0+0+0+0+0+0+0+0+0+0+0+0+0+0+0+0+0)/1000</f>
        <v>0</v>
      </c>
      <c r="D61" s="43">
        <f>(0+0+0+0+0+0+6579+1000+0+0+0+0+0+0+0+0+0+0+0+0+0+0+0+0+0+0+0+0+0+0+17277+0+0+0+0+0+0)/1000</f>
        <v>24.856000000000002</v>
      </c>
      <c r="E61" s="43">
        <f t="shared" si="1"/>
        <v>24.856000000000002</v>
      </c>
      <c r="F61" s="43">
        <f>(0+0+0+0+0+0+6579+0+0+1000+0+0+0+0+0+0+0+0+0+0+0+0+0+0+0+0+0+0+0+0+15368+0+0+0+0+0+0)/1000</f>
        <v>22.946999999999999</v>
      </c>
      <c r="G61" s="18" t="str">
        <f>IF(AND(F64&lt;&gt;0,F61&lt;&gt;0),IF(100*F61/F64&lt;0.005,"*",100*F61/F64),0)</f>
        <v>*</v>
      </c>
    </row>
    <row r="62" spans="1:7" x14ac:dyDescent="0.2">
      <c r="A62" s="11" t="s">
        <v>167</v>
      </c>
      <c r="B62" s="43">
        <f>(607+3177+5609+828+3765+2099+8975+10146+2252+0+2837+6490+626284+5135+0+0+10321+0+0+274931+10948+123625+720+4818+1984+0+14998+24326+10352+1541+2802+12660+9347+5201+5312+27+0)/1000</f>
        <v>1192.117</v>
      </c>
      <c r="C62" s="43">
        <f>(0+416+1158+0+4+0+0+0+0+0+0+0+0+0+0+0+0+0+0+0+0+0+0+0+1983+832805+407+393+455+0+0+24361+4596+152+158+0+0)/1000</f>
        <v>866.88800000000003</v>
      </c>
      <c r="D62" s="43">
        <f>(650+3012+4097+893+5225+2143+8945+10438+2186+0+2837+6564+639967+5610+0+0+10827+0+0+275810+11562+126000+0+0+991+0+16526+22392+10781+1542+7796+11707+4979+4899+5096+29+0)/1000</f>
        <v>1203.5039999999999</v>
      </c>
      <c r="E62" s="43">
        <f t="shared" si="1"/>
        <v>2070.3919999999998</v>
      </c>
      <c r="F62" s="43">
        <f>(678+3459+5261+955+5164+2290+8798+0+0+12411+2562+6561+0+5610+0+0+10827+0+0+0+15705+126000+0+0+991+841841+16202+20416+0+1595+6935+0+0+3427+4026+25+0)/1000</f>
        <v>1101.739</v>
      </c>
      <c r="G62" s="18">
        <f>IF(AND(F64&lt;&gt;0,F62&lt;&gt;0),IF(100*F62/F64&lt;0.005,"*",100*F62/F64),0)</f>
        <v>0.17126971904081364</v>
      </c>
    </row>
    <row r="63" spans="1:7" x14ac:dyDescent="0.2">
      <c r="A63" s="11" t="s">
        <v>168</v>
      </c>
      <c r="B63" s="43">
        <f>(0+0+63102+0+0+0+97500+110984+10228+0+199879+52325+40671078+305974+58340+0+320491+8886+282+0+0+0+0+0+0+0+0+0+0+0+0+0+0+15331+15262+6809+0)/1000</f>
        <v>41936.470999999998</v>
      </c>
      <c r="C63" s="43">
        <f>(0+0+13026+0+0+0+0+0+0+0+0+0+0+0+0+0+0+0+0+0+0+0+0+0+0+0+0+0+0+0+0+0+0+983+676+0+0)/1000</f>
        <v>14.685</v>
      </c>
      <c r="D63" s="43">
        <f>(0+0+46093+0+0+0+99028+114134+10606+0+198734+52917+42791732+334995+58340+0+310472+7753+160+0+0+0+0+0+0+0+0+0+0+0+0+0+0+31794+21846+7401+0)/1000</f>
        <v>44086.004999999997</v>
      </c>
      <c r="E63" s="43">
        <f t="shared" si="1"/>
        <v>44100.689999999995</v>
      </c>
      <c r="F63" s="43">
        <f>(0+0+59189+0+0+0+99804+0+0+135373+179453+52893+0+334995+64240+0+308960+7848+160+0+0+0+0+0+0+0+0+0+0+0+0+0+0+30000+17266+6439+0)/1000</f>
        <v>1296.6199999999999</v>
      </c>
      <c r="G63" s="18">
        <f>IF(AND(F64&lt;&gt;0,F63&lt;&gt;0),IF(100*F63/F64&lt;0.005,"*",100*F63/F64),0)</f>
        <v>0.20156474727925555</v>
      </c>
    </row>
    <row r="64" spans="1:7" ht="25.5" customHeight="1" x14ac:dyDescent="0.2">
      <c r="A64" s="47" t="s">
        <v>545</v>
      </c>
      <c r="B64" s="48">
        <f t="shared" ref="B64:G64" si="2">SUM(B5:B63)</f>
        <v>5880295.0089999987</v>
      </c>
      <c r="C64" s="48">
        <f t="shared" si="2"/>
        <v>27319.857999999997</v>
      </c>
      <c r="D64" s="48">
        <f t="shared" si="2"/>
        <v>6005983.834999999</v>
      </c>
      <c r="E64" s="48">
        <f t="shared" si="2"/>
        <v>6033303.692999999</v>
      </c>
      <c r="F64" s="48">
        <f t="shared" si="2"/>
        <v>643277.16900000011</v>
      </c>
      <c r="G64" s="49">
        <f t="shared" si="2"/>
        <v>99.996432797384116</v>
      </c>
    </row>
    <row r="65" spans="1:7" ht="15" customHeight="1" x14ac:dyDescent="0.2">
      <c r="A65" s="50" t="s">
        <v>546</v>
      </c>
      <c r="B65" s="48" t="s">
        <v>29</v>
      </c>
      <c r="C65" s="48" t="s">
        <v>29</v>
      </c>
      <c r="D65" s="48" t="s">
        <v>29</v>
      </c>
      <c r="E65" s="48" t="s">
        <v>29</v>
      </c>
      <c r="F65" s="48" t="s">
        <v>29</v>
      </c>
      <c r="G65" s="48" t="s">
        <v>29</v>
      </c>
    </row>
    <row r="66" spans="1:7" ht="15" x14ac:dyDescent="0.2">
      <c r="A66" s="51" t="s">
        <v>547</v>
      </c>
      <c r="B66" s="43">
        <f>(140215+119383+82308+193499+301314+0+0+5000+10279+0+0+0+0+0+0+0+0+0+0+0+0+55116767+0+0+0+0+0+0+0+0+0+0+76528+0+0+0+20000+0+0+0+0+0+0+0+0+0+0+0+0+0+0+0+0+0+2987799+0+0+0+0+0+25899+1473+26377+0+0+0+14567+0+14575+0+0+0+0+0+0+458775+0+1759+238392+25000+100953+0+0+0+31949+0+0+0+0+0+0+0+0+0+0+0+0+0+0+0+277472+270750+4160865+51+57+1870+10066+4487+745+108+25+3055+2005+67+50+80+0)/1000</f>
        <v>64724.563999999998</v>
      </c>
      <c r="C66" s="43">
        <f>(0+0+0+0+0+0+0+0+0+0+0+0+0+0+0+0+0+0+0+0+0+0+0+741000+0+272072+276474+3000+0+0+0+665393+38400+0+0+0+0+0+0+0+0+0+0+0+0+0+0+0+0+0+0+0+0+0+0+0+0+0+0+0+0+0+0+0+0+0+0+0+0+0+0+0+0+0+0+0+0+0+0+0+0+0+0+0+0+0+0+0+0+0+0+0+0+0+0+0+0+0+0+0+0+0+0+0+0+0+0+0+26+0+0+84+60+0+0+0+0)/1000</f>
        <v>1996.509</v>
      </c>
      <c r="D66" s="43">
        <f>(0+0+0+0+0+3164+0+5000+10659+0+0+0+0+0+0+0+0+0+0+0+0+25313771+0+1770000+0+0+318491+0+0+0+0+7579402+41600+0+0+0+10000+0+0+0+0+0+0+0+0+0+0+0+0+0+0+0+0+0+2988000+0+0+0+0+0+29130+1500+29130+0+0+0+14585+0+14585+0+0+0+0+0+0+454312+0+1845+247679+125000+117022+0+0+0+38000+0+0+0+0+0+0+0+0+0+0+0+0+0+0+0+286750+290000+4417691+0+0+1870+10066+0+855+0+0+2731+1940+0+0+0+0)/1000</f>
        <v>44124.777999999998</v>
      </c>
      <c r="E66" s="43">
        <f>SUM(C66:D66)</f>
        <v>46121.286999999997</v>
      </c>
      <c r="F66" s="43">
        <f>(0+0+0+0+0+0+0+0+0+24363+0+0+0+0+0+0+0+0+0+0+0+30007648+0+1861451+0+0+263525+0+0+0+0+0+0+0+0+0+50000+0+0+0+0+0+0+0+0+0+0+0+0+0+0+0+0+0+0+0+0+0+0+0+29130+1500+29130+0+0+0+16060+0+16060+0+0+0+0+0+0+452508+0+1845+247679+125000+108694+0+0+0+46000+0+0+0+0+0+0+0+0+0+0+0+0+0+0+0+297000+299000+4951369+0+0+1870+10066+0+2505+0+0+2158+2000+0+0+0+0)/1000</f>
        <v>38846.561000000002</v>
      </c>
      <c r="G66" s="18" t="s">
        <v>548</v>
      </c>
    </row>
    <row r="67" spans="1:7" ht="15" customHeight="1" x14ac:dyDescent="0.2">
      <c r="A67" s="52" t="s">
        <v>549</v>
      </c>
      <c r="B67" s="53">
        <f>SUM(B64:B66)</f>
        <v>5945019.5729999989</v>
      </c>
      <c r="C67" s="53">
        <f>SUM(C64:C66)</f>
        <v>29316.366999999998</v>
      </c>
      <c r="D67" s="53">
        <f>SUM(D64:D66)</f>
        <v>6050108.612999999</v>
      </c>
      <c r="E67" s="53">
        <f>SUM(E64:E66)</f>
        <v>6079424.9799999986</v>
      </c>
      <c r="F67" s="53">
        <f>SUM(F64:F66)</f>
        <v>682123.7300000001</v>
      </c>
      <c r="G67" s="53" t="s">
        <v>548</v>
      </c>
    </row>
    <row r="68" spans="1:7" ht="15" customHeight="1" x14ac:dyDescent="0.2">
      <c r="A68" s="66" t="s">
        <v>171</v>
      </c>
      <c r="B68" s="66"/>
      <c r="C68" s="66"/>
      <c r="D68" s="66"/>
      <c r="E68" s="66"/>
      <c r="F68" s="66"/>
      <c r="G68" s="66"/>
    </row>
    <row r="69" spans="1:7" ht="15" customHeight="1" x14ac:dyDescent="0.2">
      <c r="A69" s="59" t="s">
        <v>550</v>
      </c>
      <c r="B69" s="59"/>
      <c r="C69" s="59"/>
      <c r="D69" s="59"/>
      <c r="E69" s="59"/>
      <c r="F69" s="59"/>
      <c r="G69" s="59"/>
    </row>
  </sheetData>
  <mergeCells count="6">
    <mergeCell ref="A69:G69"/>
    <mergeCell ref="A3:A5"/>
    <mergeCell ref="B3:B5"/>
    <mergeCell ref="G3:G5"/>
    <mergeCell ref="F4:F5"/>
    <mergeCell ref="A68:G68"/>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97</v>
      </c>
      <c r="B1" s="10"/>
      <c r="C1" s="10"/>
      <c r="D1" s="10"/>
      <c r="E1" s="10"/>
      <c r="F1" s="10"/>
      <c r="G1" s="12" t="s">
        <v>437</v>
      </c>
    </row>
    <row r="2" spans="1:7" x14ac:dyDescent="0.2">
      <c r="A2" s="13" t="s">
        <v>438</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19109</v>
      </c>
      <c r="C6" s="17">
        <v>0</v>
      </c>
      <c r="D6" s="17">
        <v>20772</v>
      </c>
      <c r="E6" s="17">
        <v>20772</v>
      </c>
      <c r="F6" s="17">
        <v>18072</v>
      </c>
      <c r="G6" s="18">
        <f>IF(AND(F65&lt;&gt;0,18072&lt;&gt;0),IF(100*18072/(F65-0)&lt;0.005,"*",100*18072/(F65-0)),0)</f>
        <v>0.93138219963284818</v>
      </c>
    </row>
    <row r="7" spans="1:7" x14ac:dyDescent="0.2">
      <c r="A7" s="11" t="s">
        <v>112</v>
      </c>
      <c r="B7" s="17">
        <v>76949</v>
      </c>
      <c r="C7" s="17">
        <v>0</v>
      </c>
      <c r="D7" s="17">
        <v>83644</v>
      </c>
      <c r="E7" s="17">
        <v>83644</v>
      </c>
      <c r="F7" s="17">
        <v>72770</v>
      </c>
      <c r="G7" s="18">
        <f>IF(AND(F65&lt;&gt;0,72770&lt;&gt;0),IF(100*72770/(F65-0)&lt;0.005,"*",100*72770/(F65-0)),0)</f>
        <v>3.7503697801727736</v>
      </c>
    </row>
    <row r="8" spans="1:7" x14ac:dyDescent="0.2">
      <c r="A8" s="11" t="s">
        <v>113</v>
      </c>
      <c r="B8" s="17">
        <v>102719</v>
      </c>
      <c r="C8" s="17">
        <v>0</v>
      </c>
      <c r="D8" s="17">
        <v>111655</v>
      </c>
      <c r="E8" s="17">
        <v>111655</v>
      </c>
      <c r="F8" s="17">
        <v>97140</v>
      </c>
      <c r="G8" s="18">
        <f>IF(AND(F65&lt;&gt;0,97140&lt;&gt;0),IF(100*97140/(F65-0)&lt;0.005,"*",100*97140/(F65-0)),0)</f>
        <v>5.0063339349454887</v>
      </c>
    </row>
    <row r="9" spans="1:7" x14ac:dyDescent="0.2">
      <c r="A9" s="11" t="s">
        <v>114</v>
      </c>
      <c r="B9" s="17">
        <v>29425</v>
      </c>
      <c r="C9" s="17">
        <v>0</v>
      </c>
      <c r="D9" s="17">
        <v>31985</v>
      </c>
      <c r="E9" s="17">
        <v>31985</v>
      </c>
      <c r="F9" s="17">
        <v>27827</v>
      </c>
      <c r="G9" s="18">
        <f>IF(AND(F65&lt;&gt;0,27827&lt;&gt;0),IF(100*27827/(F65-0)&lt;0.005,"*",100*27827/(F65-0)),0)</f>
        <v>1.4341286226861039</v>
      </c>
    </row>
    <row r="10" spans="1:7" x14ac:dyDescent="0.2">
      <c r="A10" s="11" t="s">
        <v>115</v>
      </c>
      <c r="B10" s="17">
        <v>254049</v>
      </c>
      <c r="C10" s="17">
        <v>0</v>
      </c>
      <c r="D10" s="17">
        <v>276151</v>
      </c>
      <c r="E10" s="17">
        <v>276151</v>
      </c>
      <c r="F10" s="17">
        <v>240251</v>
      </c>
      <c r="G10" s="18">
        <f>IF(AND(F65&lt;&gt;0,240251&lt;&gt;0),IF(100*240251/(F65-0)&lt;0.005,"*",100*240251/(F65-0)),0)</f>
        <v>12.381889378264244</v>
      </c>
    </row>
    <row r="11" spans="1:7" x14ac:dyDescent="0.2">
      <c r="A11" s="11" t="s">
        <v>116</v>
      </c>
      <c r="B11" s="17">
        <v>29106</v>
      </c>
      <c r="C11" s="17">
        <v>0</v>
      </c>
      <c r="D11" s="17">
        <v>31638</v>
      </c>
      <c r="E11" s="17">
        <v>31638</v>
      </c>
      <c r="F11" s="17">
        <v>27525</v>
      </c>
      <c r="G11" s="18">
        <f>IF(AND(F65&lt;&gt;0,27525&lt;&gt;0),IF(100*27525/(F65-0)&lt;0.005,"*",100*27525/(F65-0)),0)</f>
        <v>1.4185643561805084</v>
      </c>
    </row>
    <row r="12" spans="1:7" x14ac:dyDescent="0.2">
      <c r="A12" s="11" t="s">
        <v>117</v>
      </c>
      <c r="B12" s="17">
        <v>15450</v>
      </c>
      <c r="C12" s="17">
        <v>0</v>
      </c>
      <c r="D12" s="17">
        <v>16794</v>
      </c>
      <c r="E12" s="17">
        <v>16794</v>
      </c>
      <c r="F12" s="17">
        <v>14611</v>
      </c>
      <c r="G12" s="18">
        <f>IF(AND(F65&lt;&gt;0,14611&lt;&gt;0),IF(100*14611/(F65-0)&lt;0.005,"*",100*14611/(F65-0)),0)</f>
        <v>0.75301158249422007</v>
      </c>
    </row>
    <row r="13" spans="1:7" x14ac:dyDescent="0.2">
      <c r="A13" s="11" t="s">
        <v>118</v>
      </c>
      <c r="B13" s="17">
        <v>5707</v>
      </c>
      <c r="C13" s="17">
        <v>0</v>
      </c>
      <c r="D13" s="17">
        <v>6203</v>
      </c>
      <c r="E13" s="17">
        <v>6203</v>
      </c>
      <c r="F13" s="17">
        <v>5397</v>
      </c>
      <c r="G13" s="18">
        <f>IF(AND(F65&lt;&gt;0,5397&lt;&gt;0),IF(100*5397/(F65-0)&lt;0.005,"*",100*5397/(F65-0)),0)</f>
        <v>0.27814684215463048</v>
      </c>
    </row>
    <row r="14" spans="1:7" x14ac:dyDescent="0.2">
      <c r="A14" s="11" t="s">
        <v>119</v>
      </c>
      <c r="B14" s="17">
        <v>7442</v>
      </c>
      <c r="C14" s="17">
        <v>0</v>
      </c>
      <c r="D14" s="17">
        <v>8090</v>
      </c>
      <c r="E14" s="17">
        <v>8090</v>
      </c>
      <c r="F14" s="17">
        <v>7038</v>
      </c>
      <c r="G14" s="18">
        <f>IF(AND(F65&lt;&gt;0,7038&lt;&gt;0),IF(100*7038/(F65-0)&lt;0.005,"*",100*7038/(F65-0)),0)</f>
        <v>0.36271956180920684</v>
      </c>
    </row>
    <row r="15" spans="1:7" x14ac:dyDescent="0.2">
      <c r="A15" s="11" t="s">
        <v>120</v>
      </c>
      <c r="B15" s="17">
        <v>87871</v>
      </c>
      <c r="C15" s="17">
        <v>0</v>
      </c>
      <c r="D15" s="17">
        <v>95515</v>
      </c>
      <c r="E15" s="17">
        <v>95515</v>
      </c>
      <c r="F15" s="17">
        <v>83098</v>
      </c>
      <c r="G15" s="18">
        <f>IF(AND(F65&lt;&gt;0,83098&lt;&gt;0),IF(100*83098/(F65-0)&lt;0.005,"*",100*83098/(F65-0)),0)</f>
        <v>4.2826470797416123</v>
      </c>
    </row>
    <row r="16" spans="1:7" x14ac:dyDescent="0.2">
      <c r="A16" s="11" t="s">
        <v>121</v>
      </c>
      <c r="B16" s="17">
        <v>47081</v>
      </c>
      <c r="C16" s="17">
        <v>0</v>
      </c>
      <c r="D16" s="17">
        <v>51177</v>
      </c>
      <c r="E16" s="17">
        <v>51177</v>
      </c>
      <c r="F16" s="17">
        <v>44524</v>
      </c>
      <c r="G16" s="18">
        <f>IF(AND(F65&lt;&gt;0,44524&lt;&gt;0),IF(100*44524/(F65-0)&lt;0.005,"*",100*44524/(F65-0)),0)</f>
        <v>2.294647026142814</v>
      </c>
    </row>
    <row r="17" spans="1:7" x14ac:dyDescent="0.2">
      <c r="A17" s="11" t="s">
        <v>122</v>
      </c>
      <c r="B17" s="17">
        <v>12222</v>
      </c>
      <c r="C17" s="17">
        <v>0</v>
      </c>
      <c r="D17" s="17">
        <v>13285</v>
      </c>
      <c r="E17" s="17">
        <v>13285</v>
      </c>
      <c r="F17" s="17">
        <v>11558</v>
      </c>
      <c r="G17" s="18">
        <f>IF(AND(F65&lt;&gt;0,11558&lt;&gt;0),IF(100*11558/(F65-0)&lt;0.005,"*",100*11558/(F65-0)),0)</f>
        <v>0.59566818633003871</v>
      </c>
    </row>
    <row r="18" spans="1:7" x14ac:dyDescent="0.2">
      <c r="A18" s="11" t="s">
        <v>123</v>
      </c>
      <c r="B18" s="17">
        <v>18092</v>
      </c>
      <c r="C18" s="17">
        <v>0</v>
      </c>
      <c r="D18" s="17">
        <v>19666</v>
      </c>
      <c r="E18" s="17">
        <v>19666</v>
      </c>
      <c r="F18" s="17">
        <v>17109</v>
      </c>
      <c r="G18" s="18">
        <f>IF(AND(F65&lt;&gt;0,17109&lt;&gt;0),IF(100*17109/(F65-0)&lt;0.005,"*",100*17109/(F65-0)),0)</f>
        <v>0.88175177365639668</v>
      </c>
    </row>
    <row r="19" spans="1:7" x14ac:dyDescent="0.2">
      <c r="A19" s="11" t="s">
        <v>124</v>
      </c>
      <c r="B19" s="17">
        <v>66576</v>
      </c>
      <c r="C19" s="17">
        <v>0</v>
      </c>
      <c r="D19" s="17">
        <v>72368</v>
      </c>
      <c r="E19" s="17">
        <v>72368</v>
      </c>
      <c r="F19" s="17">
        <v>62960</v>
      </c>
      <c r="G19" s="18">
        <f>IF(AND(F65&lt;&gt;0,62960&lt;&gt;0),IF(100*62960/(F65-0)&lt;0.005,"*",100*62960/(F65-0)),0)</f>
        <v>3.2447888052724725</v>
      </c>
    </row>
    <row r="20" spans="1:7" x14ac:dyDescent="0.2">
      <c r="A20" s="11" t="s">
        <v>125</v>
      </c>
      <c r="B20" s="17">
        <v>44258</v>
      </c>
      <c r="C20" s="17">
        <v>0</v>
      </c>
      <c r="D20" s="17">
        <v>48108</v>
      </c>
      <c r="E20" s="17">
        <v>48108</v>
      </c>
      <c r="F20" s="17">
        <v>41854</v>
      </c>
      <c r="G20" s="18">
        <f>IF(AND(F65&lt;&gt;0,41854&lt;&gt;0),IF(100*41854/(F65-0)&lt;0.005,"*",100*41854/(F65-0)),0)</f>
        <v>2.1570424182953314</v>
      </c>
    </row>
    <row r="21" spans="1:7" x14ac:dyDescent="0.2">
      <c r="A21" s="11" t="s">
        <v>126</v>
      </c>
      <c r="B21" s="17">
        <v>16832</v>
      </c>
      <c r="C21" s="17">
        <v>0</v>
      </c>
      <c r="D21" s="17">
        <v>18297</v>
      </c>
      <c r="E21" s="17">
        <v>18297</v>
      </c>
      <c r="F21" s="17">
        <v>15918</v>
      </c>
      <c r="G21" s="18">
        <f>IF(AND(F65&lt;&gt;0,15918&lt;&gt;0),IF(100*15918/(F65-0)&lt;0.005,"*",100*15918/(F65-0)),0)</f>
        <v>0.82037084184128362</v>
      </c>
    </row>
    <row r="22" spans="1:7" x14ac:dyDescent="0.2">
      <c r="A22" s="11" t="s">
        <v>127</v>
      </c>
      <c r="B22" s="17">
        <v>22844</v>
      </c>
      <c r="C22" s="17">
        <v>0</v>
      </c>
      <c r="D22" s="17">
        <v>24832</v>
      </c>
      <c r="E22" s="17">
        <v>24832</v>
      </c>
      <c r="F22" s="17">
        <v>21604</v>
      </c>
      <c r="G22" s="18">
        <f>IF(AND(F65&lt;&gt;0,21604&lt;&gt;0),IF(100*21604/(F65-0)&lt;0.005,"*",100*21604/(F65-0)),0)</f>
        <v>1.1134119655194805</v>
      </c>
    </row>
    <row r="23" spans="1:7" x14ac:dyDescent="0.2">
      <c r="A23" s="11" t="s">
        <v>128</v>
      </c>
      <c r="B23" s="17">
        <v>24604</v>
      </c>
      <c r="C23" s="17">
        <v>0</v>
      </c>
      <c r="D23" s="17">
        <v>26745</v>
      </c>
      <c r="E23" s="17">
        <v>26745</v>
      </c>
      <c r="F23" s="17">
        <v>23268</v>
      </c>
      <c r="G23" s="18">
        <f>IF(AND(F65&lt;&gt;0,23268&lt;&gt;0),IF(100*23268/(F65-0)&lt;0.005,"*",100*23268/(F65-0)),0)</f>
        <v>1.199170043219185</v>
      </c>
    </row>
    <row r="24" spans="1:7" x14ac:dyDescent="0.2">
      <c r="A24" s="11" t="s">
        <v>129</v>
      </c>
      <c r="B24" s="17">
        <v>29252</v>
      </c>
      <c r="C24" s="17">
        <v>0</v>
      </c>
      <c r="D24" s="17">
        <v>31797</v>
      </c>
      <c r="E24" s="17">
        <v>31797</v>
      </c>
      <c r="F24" s="17">
        <v>27663</v>
      </c>
      <c r="G24" s="18">
        <f>IF(AND(F65&lt;&gt;0,27663&lt;&gt;0),IF(100*27663/(F65-0)&lt;0.005,"*",100*27663/(F65-0)),0)</f>
        <v>1.4256765044512771</v>
      </c>
    </row>
    <row r="25" spans="1:7" x14ac:dyDescent="0.2">
      <c r="A25" s="11" t="s">
        <v>130</v>
      </c>
      <c r="B25" s="17">
        <v>6266</v>
      </c>
      <c r="C25" s="17">
        <v>0</v>
      </c>
      <c r="D25" s="17">
        <v>6811</v>
      </c>
      <c r="E25" s="17">
        <v>6811</v>
      </c>
      <c r="F25" s="17">
        <v>5926</v>
      </c>
      <c r="G25" s="18">
        <f>IF(AND(F65&lt;&gt;0,5926&lt;&gt;0),IF(100*5926/(F65-0)&lt;0.005,"*",100*5926/(F65-0)),0)</f>
        <v>0.3054100771925774</v>
      </c>
    </row>
    <row r="26" spans="1:7" x14ac:dyDescent="0.2">
      <c r="A26" s="11" t="s">
        <v>131</v>
      </c>
      <c r="B26" s="17">
        <v>17425</v>
      </c>
      <c r="C26" s="17">
        <v>0</v>
      </c>
      <c r="D26" s="17">
        <v>18941</v>
      </c>
      <c r="E26" s="17">
        <v>18941</v>
      </c>
      <c r="F26" s="17">
        <v>16479</v>
      </c>
      <c r="G26" s="18">
        <f>IF(AND(F65&lt;&gt;0,16479&lt;&gt;0),IF(100*16479/(F65-0)&lt;0.005,"*",100*16479/(F65-0)),0)</f>
        <v>0.84928327068114795</v>
      </c>
    </row>
    <row r="27" spans="1:7" x14ac:dyDescent="0.2">
      <c r="A27" s="11" t="s">
        <v>132</v>
      </c>
      <c r="B27" s="17">
        <v>25830</v>
      </c>
      <c r="C27" s="17">
        <v>0</v>
      </c>
      <c r="D27" s="17">
        <v>28078</v>
      </c>
      <c r="E27" s="17">
        <v>28078</v>
      </c>
      <c r="F27" s="17">
        <v>24428</v>
      </c>
      <c r="G27" s="18">
        <f>IF(AND(F65&lt;&gt;0,24428&lt;&gt;0),IF(100*24428/(F65-0)&lt;0.005,"*",100*24428/(F65-0)),0)</f>
        <v>1.2589533185386905</v>
      </c>
    </row>
    <row r="28" spans="1:7" x14ac:dyDescent="0.2">
      <c r="A28" s="11" t="s">
        <v>133</v>
      </c>
      <c r="B28" s="17">
        <v>42724</v>
      </c>
      <c r="C28" s="17">
        <v>0</v>
      </c>
      <c r="D28" s="17">
        <v>46441</v>
      </c>
      <c r="E28" s="17">
        <v>46441</v>
      </c>
      <c r="F28" s="17">
        <v>40404</v>
      </c>
      <c r="G28" s="18">
        <f>IF(AND(F65&lt;&gt;0,40404&lt;&gt;0),IF(100*40404/(F65-0)&lt;0.005,"*",100*40404/(F65-0)),0)</f>
        <v>2.0823133241459497</v>
      </c>
    </row>
    <row r="29" spans="1:7" x14ac:dyDescent="0.2">
      <c r="A29" s="11" t="s">
        <v>134</v>
      </c>
      <c r="B29" s="17">
        <v>27621</v>
      </c>
      <c r="C29" s="17">
        <v>0</v>
      </c>
      <c r="D29" s="17">
        <v>30025</v>
      </c>
      <c r="E29" s="17">
        <v>30025</v>
      </c>
      <c r="F29" s="17">
        <v>26122</v>
      </c>
      <c r="G29" s="18">
        <f>IF(AND(F65&lt;&gt;0,26122&lt;&gt;0),IF(100*26122/(F65-0)&lt;0.005,"*",100*26122/(F65-0)),0)</f>
        <v>1.3462575154276926</v>
      </c>
    </row>
    <row r="30" spans="1:7" x14ac:dyDescent="0.2">
      <c r="A30" s="11" t="s">
        <v>135</v>
      </c>
      <c r="B30" s="17">
        <v>26343</v>
      </c>
      <c r="C30" s="17">
        <v>0</v>
      </c>
      <c r="D30" s="17">
        <v>28635</v>
      </c>
      <c r="E30" s="17">
        <v>28635</v>
      </c>
      <c r="F30" s="17">
        <v>24912</v>
      </c>
      <c r="G30" s="18">
        <f>IF(AND(F65&lt;&gt;0,24912&lt;&gt;0),IF(100*24912/(F65-0)&lt;0.005,"*",100*24912/(F65-0)),0)</f>
        <v>1.2838973747926912</v>
      </c>
    </row>
    <row r="31" spans="1:7" x14ac:dyDescent="0.2">
      <c r="A31" s="11" t="s">
        <v>136</v>
      </c>
      <c r="B31" s="17">
        <v>27253</v>
      </c>
      <c r="C31" s="17">
        <v>0</v>
      </c>
      <c r="D31" s="17">
        <v>29623</v>
      </c>
      <c r="E31" s="17">
        <v>29623</v>
      </c>
      <c r="F31" s="17">
        <v>25772</v>
      </c>
      <c r="G31" s="18">
        <f>IF(AND(F65&lt;&gt;0,25772&lt;&gt;0),IF(100*25772/(F65-0)&lt;0.005,"*",100*25772/(F65-0)),0)</f>
        <v>1.328219458219221</v>
      </c>
    </row>
    <row r="32" spans="1:7" x14ac:dyDescent="0.2">
      <c r="A32" s="11" t="s">
        <v>137</v>
      </c>
      <c r="B32" s="17">
        <v>5697</v>
      </c>
      <c r="C32" s="17">
        <v>0</v>
      </c>
      <c r="D32" s="17">
        <v>6192</v>
      </c>
      <c r="E32" s="17">
        <v>6192</v>
      </c>
      <c r="F32" s="17">
        <v>5387</v>
      </c>
      <c r="G32" s="18">
        <f>IF(AND(F65&lt;&gt;0,5387&lt;&gt;0),IF(100*5387/(F65-0)&lt;0.005,"*",100*5387/(F65-0)),0)</f>
        <v>0.2776314690915313</v>
      </c>
    </row>
    <row r="33" spans="1:7" x14ac:dyDescent="0.2">
      <c r="A33" s="11" t="s">
        <v>138</v>
      </c>
      <c r="B33" s="17">
        <v>10066</v>
      </c>
      <c r="C33" s="17">
        <v>0</v>
      </c>
      <c r="D33" s="17">
        <v>10941</v>
      </c>
      <c r="E33" s="17">
        <v>10941</v>
      </c>
      <c r="F33" s="17">
        <v>9519</v>
      </c>
      <c r="G33" s="18">
        <f>IF(AND(F65&lt;&gt;0,9519&lt;&gt;0),IF(100*9519/(F65-0)&lt;0.005,"*",100*9519/(F65-0)),0)</f>
        <v>0.49058361876411477</v>
      </c>
    </row>
    <row r="34" spans="1:7" x14ac:dyDescent="0.2">
      <c r="A34" s="11" t="s">
        <v>139</v>
      </c>
      <c r="B34" s="17">
        <v>5308</v>
      </c>
      <c r="C34" s="17">
        <v>0</v>
      </c>
      <c r="D34" s="17">
        <v>5769</v>
      </c>
      <c r="E34" s="17">
        <v>5769</v>
      </c>
      <c r="F34" s="17">
        <v>5019</v>
      </c>
      <c r="G34" s="18">
        <f>IF(AND(F65&lt;&gt;0,5019&lt;&gt;0),IF(100*5019/(F65-0)&lt;0.005,"*",100*5019/(F65-0)),0)</f>
        <v>0.25866574036948126</v>
      </c>
    </row>
    <row r="35" spans="1:7" x14ac:dyDescent="0.2">
      <c r="A35" s="11" t="s">
        <v>140</v>
      </c>
      <c r="B35" s="17">
        <v>4498</v>
      </c>
      <c r="C35" s="17">
        <v>0</v>
      </c>
      <c r="D35" s="17">
        <v>4890</v>
      </c>
      <c r="E35" s="17">
        <v>4890</v>
      </c>
      <c r="F35" s="17">
        <v>4254</v>
      </c>
      <c r="G35" s="18">
        <f>IF(AND(F65&lt;&gt;0,4254&lt;&gt;0),IF(100*4254/(F65-0)&lt;0.005,"*",100*4254/(F65-0)),0)</f>
        <v>0.21923970104239357</v>
      </c>
    </row>
    <row r="36" spans="1:7" x14ac:dyDescent="0.2">
      <c r="A36" s="11" t="s">
        <v>141</v>
      </c>
      <c r="B36" s="17">
        <v>42743</v>
      </c>
      <c r="C36" s="17">
        <v>0</v>
      </c>
      <c r="D36" s="17">
        <v>46462</v>
      </c>
      <c r="E36" s="17">
        <v>46462</v>
      </c>
      <c r="F36" s="17">
        <v>40422</v>
      </c>
      <c r="G36" s="18">
        <f>IF(AND(F65&lt;&gt;0,40422&lt;&gt;0),IF(100*40422/(F65-0)&lt;0.005,"*",100*40422/(F65-0)),0)</f>
        <v>2.0832409956595281</v>
      </c>
    </row>
    <row r="37" spans="1:7" x14ac:dyDescent="0.2">
      <c r="A37" s="11" t="s">
        <v>142</v>
      </c>
      <c r="B37" s="17">
        <v>38080</v>
      </c>
      <c r="C37" s="17">
        <v>0</v>
      </c>
      <c r="D37" s="17">
        <v>41393</v>
      </c>
      <c r="E37" s="17">
        <v>41393</v>
      </c>
      <c r="F37" s="17">
        <v>36012</v>
      </c>
      <c r="G37" s="18">
        <f>IF(AND(F65&lt;&gt;0,36012&lt;&gt;0),IF(100*36012/(F65-0)&lt;0.005,"*",100*36012/(F65-0)),0)</f>
        <v>1.8559614748327873</v>
      </c>
    </row>
    <row r="38" spans="1:7" x14ac:dyDescent="0.2">
      <c r="A38" s="11" t="s">
        <v>143</v>
      </c>
      <c r="B38" s="17">
        <v>70204</v>
      </c>
      <c r="C38" s="17">
        <v>0</v>
      </c>
      <c r="D38" s="17">
        <v>76312</v>
      </c>
      <c r="E38" s="17">
        <v>76312</v>
      </c>
      <c r="F38" s="17">
        <v>66391</v>
      </c>
      <c r="G38" s="18">
        <f>IF(AND(F65&lt;&gt;0,66391&lt;&gt;0),IF(100*66391/(F65-0)&lt;0.005,"*",100*66391/(F65-0)),0)</f>
        <v>3.421613303221803</v>
      </c>
    </row>
    <row r="39" spans="1:7" x14ac:dyDescent="0.2">
      <c r="A39" s="11" t="s">
        <v>144</v>
      </c>
      <c r="B39" s="17">
        <v>51317</v>
      </c>
      <c r="C39" s="17">
        <v>0</v>
      </c>
      <c r="D39" s="17">
        <v>55781</v>
      </c>
      <c r="E39" s="17">
        <v>55781</v>
      </c>
      <c r="F39" s="17">
        <v>48529</v>
      </c>
      <c r="G39" s="18">
        <f>IF(AND(F65&lt;&gt;0,48529&lt;&gt;0),IF(100*48529/(F65-0)&lt;0.005,"*",100*48529/(F65-0)),0)</f>
        <v>2.5010539379140377</v>
      </c>
    </row>
    <row r="40" spans="1:7" x14ac:dyDescent="0.2">
      <c r="A40" s="11" t="s">
        <v>145</v>
      </c>
      <c r="B40" s="17">
        <v>1282</v>
      </c>
      <c r="C40" s="17">
        <v>0</v>
      </c>
      <c r="D40" s="17">
        <v>1394</v>
      </c>
      <c r="E40" s="17">
        <v>1394</v>
      </c>
      <c r="F40" s="17">
        <v>1213</v>
      </c>
      <c r="G40" s="18">
        <f>IF(AND(F65&lt;&gt;0,1213&lt;&gt;0),IF(100*1213/(F65-0)&lt;0.005,"*",100*1213/(F65-0)),0)</f>
        <v>6.2514752553931213E-2</v>
      </c>
    </row>
    <row r="41" spans="1:7" x14ac:dyDescent="0.2">
      <c r="A41" s="11" t="s">
        <v>146</v>
      </c>
      <c r="B41" s="17">
        <v>65210</v>
      </c>
      <c r="C41" s="17">
        <v>0</v>
      </c>
      <c r="D41" s="17">
        <v>70883</v>
      </c>
      <c r="E41" s="17">
        <v>70883</v>
      </c>
      <c r="F41" s="17">
        <v>61668</v>
      </c>
      <c r="G41" s="18">
        <f>IF(AND(F65&lt;&gt;0,61668&lt;&gt;0),IF(100*61668/(F65-0)&lt;0.005,"*",100*61668/(F65-0)),0)</f>
        <v>3.1782026055200578</v>
      </c>
    </row>
    <row r="42" spans="1:7" x14ac:dyDescent="0.2">
      <c r="A42" s="11" t="s">
        <v>147</v>
      </c>
      <c r="B42" s="17">
        <v>37859</v>
      </c>
      <c r="C42" s="17">
        <v>0</v>
      </c>
      <c r="D42" s="17">
        <v>41153</v>
      </c>
      <c r="E42" s="17">
        <v>41153</v>
      </c>
      <c r="F42" s="17">
        <v>35803</v>
      </c>
      <c r="G42" s="18">
        <f>IF(AND(F65&lt;&gt;0,35803&lt;&gt;0),IF(100*35803/(F65-0)&lt;0.005,"*",100*35803/(F65-0)),0)</f>
        <v>1.8451901778140143</v>
      </c>
    </row>
    <row r="43" spans="1:7" x14ac:dyDescent="0.2">
      <c r="A43" s="11" t="s">
        <v>148</v>
      </c>
      <c r="B43" s="17">
        <v>22326</v>
      </c>
      <c r="C43" s="17">
        <v>0</v>
      </c>
      <c r="D43" s="17">
        <v>24268</v>
      </c>
      <c r="E43" s="17">
        <v>24268</v>
      </c>
      <c r="F43" s="17">
        <v>21113</v>
      </c>
      <c r="G43" s="18">
        <f>IF(AND(F65&lt;&gt;0,21113&lt;&gt;0),IF(100*21113/(F65-0)&lt;0.005,"*",100*21113/(F65-0)),0)</f>
        <v>1.0881071481213105</v>
      </c>
    </row>
    <row r="44" spans="1:7" x14ac:dyDescent="0.2">
      <c r="A44" s="11" t="s">
        <v>149</v>
      </c>
      <c r="B44" s="17">
        <v>61917</v>
      </c>
      <c r="C44" s="17">
        <v>0</v>
      </c>
      <c r="D44" s="17">
        <v>67304</v>
      </c>
      <c r="E44" s="17">
        <v>67304</v>
      </c>
      <c r="F44" s="17">
        <v>58554</v>
      </c>
      <c r="G44" s="18">
        <f>IF(AND(F65&lt;&gt;0,58554&lt;&gt;0),IF(100*58554/(F65-0)&lt;0.005,"*",100*58554/(F65-0)),0)</f>
        <v>3.0177154336709715</v>
      </c>
    </row>
    <row r="45" spans="1:7" x14ac:dyDescent="0.2">
      <c r="A45" s="11" t="s">
        <v>150</v>
      </c>
      <c r="B45" s="17">
        <v>3566</v>
      </c>
      <c r="C45" s="17">
        <v>0</v>
      </c>
      <c r="D45" s="17">
        <v>3876</v>
      </c>
      <c r="E45" s="17">
        <v>3876</v>
      </c>
      <c r="F45" s="17">
        <v>3372</v>
      </c>
      <c r="G45" s="18">
        <f>IF(AND(F65&lt;&gt;0,3372&lt;&gt;0),IF(100*3372/(F65-0)&lt;0.005,"*",100*3372/(F65-0)),0)</f>
        <v>0.1737837968770454</v>
      </c>
    </row>
    <row r="46" spans="1:7" x14ac:dyDescent="0.2">
      <c r="A46" s="11" t="s">
        <v>151</v>
      </c>
      <c r="B46" s="17">
        <v>14349</v>
      </c>
      <c r="C46" s="17">
        <v>0</v>
      </c>
      <c r="D46" s="17">
        <v>15598</v>
      </c>
      <c r="E46" s="17">
        <v>15598</v>
      </c>
      <c r="F46" s="17">
        <v>13570</v>
      </c>
      <c r="G46" s="18">
        <f>IF(AND(F65&lt;&gt;0,13570&lt;&gt;0),IF(100*13570/(F65-0)&lt;0.005,"*",100*13570/(F65-0)),0)</f>
        <v>0.69936124662559485</v>
      </c>
    </row>
    <row r="47" spans="1:7" x14ac:dyDescent="0.2">
      <c r="A47" s="11" t="s">
        <v>152</v>
      </c>
      <c r="B47" s="17">
        <v>7065</v>
      </c>
      <c r="C47" s="17">
        <v>0</v>
      </c>
      <c r="D47" s="17">
        <v>7680</v>
      </c>
      <c r="E47" s="17">
        <v>7680</v>
      </c>
      <c r="F47" s="17">
        <v>6682</v>
      </c>
      <c r="G47" s="18">
        <f>IF(AND(F65&lt;&gt;0,6682&lt;&gt;0),IF(100*6682/(F65-0)&lt;0.005,"*",100*6682/(F65-0)),0)</f>
        <v>0.34437228076287585</v>
      </c>
    </row>
    <row r="48" spans="1:7" x14ac:dyDescent="0.2">
      <c r="A48" s="11" t="s">
        <v>153</v>
      </c>
      <c r="B48" s="17">
        <v>86650</v>
      </c>
      <c r="C48" s="17">
        <v>0</v>
      </c>
      <c r="D48" s="17">
        <v>94189</v>
      </c>
      <c r="E48" s="17">
        <v>94189</v>
      </c>
      <c r="F48" s="17">
        <v>81944</v>
      </c>
      <c r="G48" s="18">
        <f>IF(AND(F65&lt;&gt;0,81944&lt;&gt;0),IF(100*81944/(F65-0)&lt;0.005,"*",100*81944/(F65-0)),0)</f>
        <v>4.2231730282599669</v>
      </c>
    </row>
    <row r="49" spans="1:7" x14ac:dyDescent="0.2">
      <c r="A49" s="11" t="s">
        <v>154</v>
      </c>
      <c r="B49" s="17">
        <v>277324</v>
      </c>
      <c r="C49" s="17">
        <v>0</v>
      </c>
      <c r="D49" s="17">
        <v>301451</v>
      </c>
      <c r="E49" s="17">
        <v>301451</v>
      </c>
      <c r="F49" s="17">
        <v>262262</v>
      </c>
      <c r="G49" s="18">
        <f>IF(AND(F65&lt;&gt;0,262262&lt;&gt;0),IF(100*262262/(F65-0)&lt;0.005,"*",100*262262/(F65-0)),0)</f>
        <v>13.516277027451862</v>
      </c>
    </row>
    <row r="50" spans="1:7" x14ac:dyDescent="0.2">
      <c r="A50" s="11" t="s">
        <v>155</v>
      </c>
      <c r="B50" s="17">
        <v>38862</v>
      </c>
      <c r="C50" s="17">
        <v>0</v>
      </c>
      <c r="D50" s="17">
        <v>42243</v>
      </c>
      <c r="E50" s="17">
        <v>42243</v>
      </c>
      <c r="F50" s="17">
        <v>36751</v>
      </c>
      <c r="G50" s="18">
        <f>IF(AND(F65&lt;&gt;0,36751&lt;&gt;0),IF(100*36751/(F65-0)&lt;0.005,"*",100*36751/(F65-0)),0)</f>
        <v>1.8940475441958171</v>
      </c>
    </row>
    <row r="51" spans="1:7" x14ac:dyDescent="0.2">
      <c r="A51" s="11" t="s">
        <v>156</v>
      </c>
      <c r="B51" s="17">
        <v>3128</v>
      </c>
      <c r="C51" s="17">
        <v>0</v>
      </c>
      <c r="D51" s="17">
        <v>3400</v>
      </c>
      <c r="E51" s="17">
        <v>3400</v>
      </c>
      <c r="F51" s="17">
        <v>2958</v>
      </c>
      <c r="G51" s="18">
        <f>IF(AND(F65&lt;&gt;0,2958&lt;&gt;0),IF(100*2958/(F65-0)&lt;0.005,"*",100*2958/(F65-0)),0)</f>
        <v>0.15244735206473911</v>
      </c>
    </row>
    <row r="52" spans="1:7" x14ac:dyDescent="0.2">
      <c r="A52" s="11" t="s">
        <v>157</v>
      </c>
      <c r="B52" s="17">
        <v>34726</v>
      </c>
      <c r="C52" s="17">
        <v>0</v>
      </c>
      <c r="D52" s="17">
        <v>37748</v>
      </c>
      <c r="E52" s="17">
        <v>37748</v>
      </c>
      <c r="F52" s="17">
        <v>32841</v>
      </c>
      <c r="G52" s="18">
        <f>IF(AND(F65&lt;&gt;0,32841&lt;&gt;0),IF(100*32841/(F65-0)&lt;0.005,"*",100*32841/(F65-0)),0)</f>
        <v>1.6925366765240355</v>
      </c>
    </row>
    <row r="53" spans="1:7" x14ac:dyDescent="0.2">
      <c r="A53" s="11" t="s">
        <v>158</v>
      </c>
      <c r="B53" s="17">
        <v>33900</v>
      </c>
      <c r="C53" s="17">
        <v>0</v>
      </c>
      <c r="D53" s="17">
        <v>36850</v>
      </c>
      <c r="E53" s="17">
        <v>36850</v>
      </c>
      <c r="F53" s="17">
        <v>32060</v>
      </c>
      <c r="G53" s="18">
        <f>IF(AND(F65&lt;&gt;0,32060&lt;&gt;0),IF(100*32060/(F65-0)&lt;0.005,"*",100*32060/(F65-0)),0)</f>
        <v>1.6522860402959891</v>
      </c>
    </row>
    <row r="54" spans="1:7" x14ac:dyDescent="0.2">
      <c r="A54" s="11" t="s">
        <v>159</v>
      </c>
      <c r="B54" s="17">
        <v>13988</v>
      </c>
      <c r="C54" s="17">
        <v>0</v>
      </c>
      <c r="D54" s="17">
        <v>15205</v>
      </c>
      <c r="E54" s="17">
        <v>15205</v>
      </c>
      <c r="F54" s="17">
        <v>13228</v>
      </c>
      <c r="G54" s="18">
        <f>IF(AND(F65&lt;&gt;0,13228&lt;&gt;0),IF(100*13228/(F65-0)&lt;0.005,"*",100*13228/(F65-0)),0)</f>
        <v>0.68173548786760274</v>
      </c>
    </row>
    <row r="55" spans="1:7" x14ac:dyDescent="0.2">
      <c r="A55" s="11" t="s">
        <v>160</v>
      </c>
      <c r="B55" s="17">
        <v>22987</v>
      </c>
      <c r="C55" s="17">
        <v>0</v>
      </c>
      <c r="D55" s="17">
        <v>24987</v>
      </c>
      <c r="E55" s="17">
        <v>24987</v>
      </c>
      <c r="F55" s="17">
        <v>21739</v>
      </c>
      <c r="G55" s="18">
        <f>IF(AND(F65&lt;&gt;0,21739&lt;&gt;0),IF(100*21739/(F65-0)&lt;0.005,"*",100*21739/(F65-0)),0)</f>
        <v>1.1203695018713196</v>
      </c>
    </row>
    <row r="56" spans="1:7" x14ac:dyDescent="0.2">
      <c r="A56" s="11" t="s">
        <v>161</v>
      </c>
      <c r="B56" s="17">
        <v>2005</v>
      </c>
      <c r="C56" s="17">
        <v>0</v>
      </c>
      <c r="D56" s="17">
        <v>2179</v>
      </c>
      <c r="E56" s="17">
        <v>2179</v>
      </c>
      <c r="F56" s="17">
        <v>1896</v>
      </c>
      <c r="G56" s="18">
        <f>IF(AND(F65&lt;&gt;0,1896&lt;&gt;0),IF(100*1896/(F65-0)&lt;0.005,"*",100*1896/(F65-0)),0)</f>
        <v>9.7714732763605594E-2</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461</v>
      </c>
      <c r="C58" s="17">
        <v>0</v>
      </c>
      <c r="D58" s="17">
        <v>501</v>
      </c>
      <c r="E58" s="17">
        <v>501</v>
      </c>
      <c r="F58" s="17">
        <v>436</v>
      </c>
      <c r="G58" s="18">
        <f>IF(AND(F65&lt;&gt;0,436&lt;&gt;0),IF(100*436/(F65-0)&lt;0.005,"*",100*436/(F65-0)),0)</f>
        <v>2.2470265551124493E-2</v>
      </c>
    </row>
    <row r="59" spans="1:7" x14ac:dyDescent="0.2">
      <c r="A59" s="11" t="s">
        <v>164</v>
      </c>
      <c r="B59" s="17">
        <v>449</v>
      </c>
      <c r="C59" s="17">
        <v>0</v>
      </c>
      <c r="D59" s="17">
        <v>488</v>
      </c>
      <c r="E59" s="17">
        <v>488</v>
      </c>
      <c r="F59" s="17">
        <v>425</v>
      </c>
      <c r="G59" s="18">
        <f>IF(AND(F65&lt;&gt;0,425&lt;&gt;0),IF(100*425/(F65-0)&lt;0.005,"*",100*425/(F65-0)),0)</f>
        <v>2.1903355181715389E-2</v>
      </c>
    </row>
    <row r="60" spans="1:7" x14ac:dyDescent="0.2">
      <c r="A60" s="11" t="s">
        <v>165</v>
      </c>
      <c r="B60" s="17">
        <v>5922</v>
      </c>
      <c r="C60" s="17">
        <v>0</v>
      </c>
      <c r="D60" s="17">
        <v>6437</v>
      </c>
      <c r="E60" s="17">
        <v>6437</v>
      </c>
      <c r="F60" s="17">
        <v>5600</v>
      </c>
      <c r="G60" s="18">
        <f>IF(AND(F65&lt;&gt;0,5600&lt;&gt;0),IF(100*5600/(F65-0)&lt;0.005,"*",100*5600/(F65-0)),0)</f>
        <v>0.28860891533554395</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27</v>
      </c>
      <c r="C62" s="17">
        <v>0</v>
      </c>
      <c r="D62" s="17">
        <v>29</v>
      </c>
      <c r="E62" s="17">
        <v>29</v>
      </c>
      <c r="F62" s="17">
        <v>25</v>
      </c>
      <c r="G62" s="18" t="str">
        <f>IF(AND(F65&lt;&gt;0,25&lt;&gt;0),IF(100*25/(F65-0)&lt;0.005,"*",100*25/(F65-0)),0)</f>
        <v>*</v>
      </c>
    </row>
    <row r="63" spans="1:7" x14ac:dyDescent="0.2">
      <c r="A63" s="11" t="s">
        <v>168</v>
      </c>
      <c r="B63" s="17">
        <v>6809</v>
      </c>
      <c r="C63" s="17">
        <v>0</v>
      </c>
      <c r="D63" s="17">
        <v>7401</v>
      </c>
      <c r="E63" s="17">
        <v>7401</v>
      </c>
      <c r="F63" s="17">
        <v>6439</v>
      </c>
      <c r="G63" s="18">
        <f>IF(AND(F65&lt;&gt;0,6439&lt;&gt;0),IF(100*6439/(F65-0)&lt;0.005,"*",100*6439/(F65-0)),0)</f>
        <v>0.33184871532956561</v>
      </c>
    </row>
    <row r="64" spans="1:7" x14ac:dyDescent="0.2">
      <c r="A64" s="11" t="s">
        <v>169</v>
      </c>
      <c r="B64" s="17">
        <v>0</v>
      </c>
      <c r="C64" s="17">
        <v>0</v>
      </c>
      <c r="D64" s="17">
        <v>0</v>
      </c>
      <c r="E64" s="17">
        <v>0</v>
      </c>
      <c r="F64" s="17">
        <v>0</v>
      </c>
      <c r="G64" s="18">
        <v>0</v>
      </c>
    </row>
    <row r="65" spans="1:7" ht="15" customHeight="1" x14ac:dyDescent="0.2">
      <c r="A65" s="19" t="s">
        <v>110</v>
      </c>
      <c r="B65" s="20">
        <f>19109+76949+102719+29425+254049+29106+15450+5707+7442+87871+47081+12222+18092+66576+44258+16832+22844+24604+29252+6266+17425+25830+42724+27621+26343+27253+5697+10066+5308+4498+42743+38080+70204+51317+1282+65210+37859+22326+61917+3566+14349+7065+86650+277324+38862+3128+34726+33900+13988+22987+2005+0+461+449+5922+0+27+6809+0+0</f>
        <v>2051775</v>
      </c>
      <c r="C65" s="20">
        <f>0+0+0+0+0+0+0+0+0+0+0+0+0+0+0+0+0+0+0+0+0+0+0+0+0+0+0+0+0+0+0+0+0+0+0+0+0+0+0+0+0+0+0+0+0+0+0+0+0+0+0+0+0+0+0+0+0+0+0+0</f>
        <v>0</v>
      </c>
      <c r="D65" s="20">
        <f>20772+83644+111655+31985+276151+31638+16794+6203+8090+95515+51177+13285+19666+72368+48108+18297+24832+26745+31797+6811+18941+28078+46441+30025+28635+29623+6192+10941+5769+4890+46462+41393+76312+55781+1394+70883+41153+24268+67304+3876+15598+7680+94189+301451+42243+3400+37748+36850+15205+24987+2179+0+501+488+6437+0+29+7401+0+0</f>
        <v>2230280</v>
      </c>
      <c r="E65" s="20">
        <f>SUM(C65:D65)</f>
        <v>2230280</v>
      </c>
      <c r="F65" s="20">
        <f>18072+72770+97140+27827+240251+27525+14611+5397+7038+83098+44524+11558+17109+62960+41854+15918+21604+23268+27663+5926+16479+24428+40404+26122+24912+25772+5387+9519+5019+4254+40422+36012+66391+48529+1213+61668+35803+21113+58554+3372+13570+6682+81944+262262+36751+2958+32841+32060+13228+21739+1896+0+436+425+5600+0+25+6439+0+0</f>
        <v>1940342</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99</v>
      </c>
      <c r="B1" s="10"/>
      <c r="C1" s="10"/>
      <c r="D1" s="10"/>
      <c r="E1" s="10"/>
      <c r="F1" s="10"/>
      <c r="G1" s="12" t="s">
        <v>100</v>
      </c>
    </row>
    <row r="2" spans="1:7" x14ac:dyDescent="0.2">
      <c r="A2" s="13" t="s">
        <v>101</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80973</v>
      </c>
      <c r="C6" s="17">
        <v>0</v>
      </c>
      <c r="D6" s="17">
        <v>86696</v>
      </c>
      <c r="E6" s="17">
        <v>86696</v>
      </c>
      <c r="F6" s="17">
        <v>90423</v>
      </c>
      <c r="G6" s="18">
        <f>IF(AND(F65&lt;&gt;0,90423&lt;&gt;0),IF(100*90423/(F65-0)&lt;0.005,"*",100*90423/(F65-0)),0)</f>
        <v>1.7944325617780685</v>
      </c>
    </row>
    <row r="7" spans="1:7" x14ac:dyDescent="0.2">
      <c r="A7" s="11" t="s">
        <v>112</v>
      </c>
      <c r="B7" s="17">
        <v>12468</v>
      </c>
      <c r="C7" s="17">
        <v>0</v>
      </c>
      <c r="D7" s="17">
        <v>13349</v>
      </c>
      <c r="E7" s="17">
        <v>13349</v>
      </c>
      <c r="F7" s="17">
        <v>13923</v>
      </c>
      <c r="G7" s="18">
        <f>IF(AND(F65&lt;&gt;0,13923&lt;&gt;0),IF(100*13923/(F65-0)&lt;0.005,"*",100*13923/(F65-0)),0)</f>
        <v>0.27630010680508332</v>
      </c>
    </row>
    <row r="8" spans="1:7" x14ac:dyDescent="0.2">
      <c r="A8" s="11" t="s">
        <v>113</v>
      </c>
      <c r="B8" s="17">
        <v>97007</v>
      </c>
      <c r="C8" s="17">
        <v>0</v>
      </c>
      <c r="D8" s="17">
        <v>103863</v>
      </c>
      <c r="E8" s="17">
        <v>103863</v>
      </c>
      <c r="F8" s="17">
        <v>108328</v>
      </c>
      <c r="G8" s="18">
        <f>IF(AND(F65&lt;&gt;0,108328&lt;&gt;0),IF(100*108328/(F65-0)&lt;0.005,"*",100*108328/(F65-0)),0)</f>
        <v>2.1497549357165169</v>
      </c>
    </row>
    <row r="9" spans="1:7" x14ac:dyDescent="0.2">
      <c r="A9" s="11" t="s">
        <v>114</v>
      </c>
      <c r="B9" s="17">
        <v>58327</v>
      </c>
      <c r="C9" s="17">
        <v>0</v>
      </c>
      <c r="D9" s="17">
        <v>62449</v>
      </c>
      <c r="E9" s="17">
        <v>62449</v>
      </c>
      <c r="F9" s="17">
        <v>65134</v>
      </c>
      <c r="G9" s="18">
        <f>IF(AND(F65&lt;&gt;0,65134&lt;&gt;0),IF(100*65134/(F65-0)&lt;0.005,"*",100*65134/(F65-0)),0)</f>
        <v>1.2925756774145152</v>
      </c>
    </row>
    <row r="10" spans="1:7" x14ac:dyDescent="0.2">
      <c r="A10" s="11" t="s">
        <v>115</v>
      </c>
      <c r="B10" s="17">
        <v>547115</v>
      </c>
      <c r="C10" s="17">
        <v>0</v>
      </c>
      <c r="D10" s="17">
        <v>585783</v>
      </c>
      <c r="E10" s="17">
        <v>585783</v>
      </c>
      <c r="F10" s="17">
        <v>610967</v>
      </c>
      <c r="G10" s="18">
        <f>IF(AND(F65&lt;&gt;0,610967&lt;&gt;0),IF(100*610967/(F65-0)&lt;0.005,"*",100*610967/(F65-0)),0)</f>
        <v>12.124559890424573</v>
      </c>
    </row>
    <row r="11" spans="1:7" x14ac:dyDescent="0.2">
      <c r="A11" s="11" t="s">
        <v>116</v>
      </c>
      <c r="B11" s="17">
        <v>45090</v>
      </c>
      <c r="C11" s="17">
        <v>0</v>
      </c>
      <c r="D11" s="17">
        <v>48277</v>
      </c>
      <c r="E11" s="17">
        <v>48277</v>
      </c>
      <c r="F11" s="17">
        <v>50352</v>
      </c>
      <c r="G11" s="18">
        <f>IF(AND(F65&lt;&gt;0,50352&lt;&gt;0),IF(100*50352/(F65-0)&lt;0.005,"*",100*50352/(F65-0)),0)</f>
        <v>0.99922882840261107</v>
      </c>
    </row>
    <row r="12" spans="1:7" x14ac:dyDescent="0.2">
      <c r="A12" s="11" t="s">
        <v>117</v>
      </c>
      <c r="B12" s="17">
        <v>37463</v>
      </c>
      <c r="C12" s="17">
        <v>0</v>
      </c>
      <c r="D12" s="17">
        <v>40111</v>
      </c>
      <c r="E12" s="17">
        <v>40111</v>
      </c>
      <c r="F12" s="17">
        <v>41835</v>
      </c>
      <c r="G12" s="18">
        <f>IF(AND(F65&lt;&gt;0,41835&lt;&gt;0),IF(100*41835/(F65-0)&lt;0.005,"*",100*41835/(F65-0)),0)</f>
        <v>0.83021008174895206</v>
      </c>
    </row>
    <row r="13" spans="1:7" x14ac:dyDescent="0.2">
      <c r="A13" s="11" t="s">
        <v>118</v>
      </c>
      <c r="B13" s="17">
        <v>14512</v>
      </c>
      <c r="C13" s="17">
        <v>0</v>
      </c>
      <c r="D13" s="17">
        <v>15538</v>
      </c>
      <c r="E13" s="17">
        <v>15538</v>
      </c>
      <c r="F13" s="17">
        <v>16206</v>
      </c>
      <c r="G13" s="18">
        <f>IF(AND(F65&lt;&gt;0,16206&lt;&gt;0),IF(100*16206/(F65-0)&lt;0.005,"*",100*16206/(F65-0)),0)</f>
        <v>0.32160594202996334</v>
      </c>
    </row>
    <row r="14" spans="1:7" x14ac:dyDescent="0.2">
      <c r="A14" s="11" t="s">
        <v>119</v>
      </c>
      <c r="B14" s="17">
        <v>11615</v>
      </c>
      <c r="C14" s="17">
        <v>0</v>
      </c>
      <c r="D14" s="17">
        <v>12436</v>
      </c>
      <c r="E14" s="17">
        <v>12436</v>
      </c>
      <c r="F14" s="17">
        <v>12971</v>
      </c>
      <c r="G14" s="18">
        <f>IF(AND(F65&lt;&gt;0,12971&lt;&gt;0),IF(100*12971/(F65-0)&lt;0.005,"*",100*12971/(F65-0)),0)</f>
        <v>0.25740779180986395</v>
      </c>
    </row>
    <row r="15" spans="1:7" x14ac:dyDescent="0.2">
      <c r="A15" s="11" t="s">
        <v>120</v>
      </c>
      <c r="B15" s="17">
        <v>274585</v>
      </c>
      <c r="C15" s="17">
        <v>0</v>
      </c>
      <c r="D15" s="17">
        <v>293992</v>
      </c>
      <c r="E15" s="17">
        <v>293992</v>
      </c>
      <c r="F15" s="17">
        <v>306631</v>
      </c>
      <c r="G15" s="18">
        <f>IF(AND(F65&lt;&gt;0,306631&lt;&gt;0),IF(100*306631/(F65-0)&lt;0.005,"*",100*306631/(F65-0)),0)</f>
        <v>6.0850519320368814</v>
      </c>
    </row>
    <row r="16" spans="1:7" x14ac:dyDescent="0.2">
      <c r="A16" s="11" t="s">
        <v>121</v>
      </c>
      <c r="B16" s="17">
        <v>198044</v>
      </c>
      <c r="C16" s="17">
        <v>0</v>
      </c>
      <c r="D16" s="17">
        <v>212041</v>
      </c>
      <c r="E16" s="17">
        <v>212041</v>
      </c>
      <c r="F16" s="17">
        <v>221157</v>
      </c>
      <c r="G16" s="18">
        <f>IF(AND(F65&lt;&gt;0,221157&lt;&gt;0),IF(100*221157/(F65-0)&lt;0.005,"*",100*221157/(F65-0)),0)</f>
        <v>4.3888316254177839</v>
      </c>
    </row>
    <row r="17" spans="1:7" x14ac:dyDescent="0.2">
      <c r="A17" s="11" t="s">
        <v>122</v>
      </c>
      <c r="B17" s="17">
        <v>11150</v>
      </c>
      <c r="C17" s="17">
        <v>0</v>
      </c>
      <c r="D17" s="17">
        <v>11938</v>
      </c>
      <c r="E17" s="17">
        <v>11938</v>
      </c>
      <c r="F17" s="17">
        <v>12451</v>
      </c>
      <c r="G17" s="18">
        <f>IF(AND(F65&lt;&gt;0,12451&lt;&gt;0),IF(100*12451/(F65-0)&lt;0.005,"*",100*12451/(F65-0)),0)</f>
        <v>0.24708846008978613</v>
      </c>
    </row>
    <row r="18" spans="1:7" x14ac:dyDescent="0.2">
      <c r="A18" s="11" t="s">
        <v>123</v>
      </c>
      <c r="B18" s="17">
        <v>17382</v>
      </c>
      <c r="C18" s="17">
        <v>0</v>
      </c>
      <c r="D18" s="17">
        <v>18611</v>
      </c>
      <c r="E18" s="17">
        <v>18611</v>
      </c>
      <c r="F18" s="17">
        <v>19411</v>
      </c>
      <c r="G18" s="18">
        <f>IF(AND(F65&lt;&gt;0,19411&lt;&gt;0),IF(100*19411/(F65-0)&lt;0.005,"*",100*19411/(F65-0)),0)</f>
        <v>0.38520874618928908</v>
      </c>
    </row>
    <row r="19" spans="1:7" x14ac:dyDescent="0.2">
      <c r="A19" s="11" t="s">
        <v>124</v>
      </c>
      <c r="B19" s="17">
        <v>148805</v>
      </c>
      <c r="C19" s="17">
        <v>0</v>
      </c>
      <c r="D19" s="17">
        <v>159322</v>
      </c>
      <c r="E19" s="17">
        <v>159322</v>
      </c>
      <c r="F19" s="17">
        <v>166172</v>
      </c>
      <c r="G19" s="18">
        <f>IF(AND(F65&lt;&gt;0,166172&lt;&gt;0),IF(100*166172/(F65-0)&lt;0.005,"*",100*166172/(F65-0)),0)</f>
        <v>3.2976615203630182</v>
      </c>
    </row>
    <row r="20" spans="1:7" x14ac:dyDescent="0.2">
      <c r="A20" s="11" t="s">
        <v>125</v>
      </c>
      <c r="B20" s="17">
        <v>82547</v>
      </c>
      <c r="C20" s="17">
        <v>0</v>
      </c>
      <c r="D20" s="17">
        <v>88381</v>
      </c>
      <c r="E20" s="17">
        <v>88381</v>
      </c>
      <c r="F20" s="17">
        <v>92181</v>
      </c>
      <c r="G20" s="18">
        <f>IF(AND(F65&lt;&gt;0,92181&lt;&gt;0),IF(100*92181/(F65-0)&lt;0.005,"*",100*92181/(F65-0)),0)</f>
        <v>1.8293198409394085</v>
      </c>
    </row>
    <row r="21" spans="1:7" x14ac:dyDescent="0.2">
      <c r="A21" s="11" t="s">
        <v>126</v>
      </c>
      <c r="B21" s="17">
        <v>28631</v>
      </c>
      <c r="C21" s="17">
        <v>0</v>
      </c>
      <c r="D21" s="17">
        <v>30655</v>
      </c>
      <c r="E21" s="17">
        <v>30655</v>
      </c>
      <c r="F21" s="17">
        <v>31972</v>
      </c>
      <c r="G21" s="18">
        <f>IF(AND(F65&lt;&gt;0,31972&lt;&gt;0),IF(100*31972/(F65-0)&lt;0.005,"*",100*31972/(F65-0)),0)</f>
        <v>0.63448014183524548</v>
      </c>
    </row>
    <row r="22" spans="1:7" x14ac:dyDescent="0.2">
      <c r="A22" s="11" t="s">
        <v>127</v>
      </c>
      <c r="B22" s="17">
        <v>33360</v>
      </c>
      <c r="C22" s="17">
        <v>0</v>
      </c>
      <c r="D22" s="17">
        <v>35718</v>
      </c>
      <c r="E22" s="17">
        <v>35718</v>
      </c>
      <c r="F22" s="17">
        <v>37253</v>
      </c>
      <c r="G22" s="18">
        <f>IF(AND(F65&lt;&gt;0,37253&lt;&gt;0),IF(100*37253/(F65-0)&lt;0.005,"*",100*37253/(F65-0)),0)</f>
        <v>0.7392808934001126</v>
      </c>
    </row>
    <row r="23" spans="1:7" x14ac:dyDescent="0.2">
      <c r="A23" s="11" t="s">
        <v>128</v>
      </c>
      <c r="B23" s="17">
        <v>101933</v>
      </c>
      <c r="C23" s="17">
        <v>0</v>
      </c>
      <c r="D23" s="17">
        <v>109137</v>
      </c>
      <c r="E23" s="17">
        <v>109137</v>
      </c>
      <c r="F23" s="17">
        <v>113829</v>
      </c>
      <c r="G23" s="18">
        <f>IF(AND(F65&lt;&gt;0,113829&lt;&gt;0),IF(100*113829/(F65-0)&lt;0.005,"*",100*113829/(F65-0)),0)</f>
        <v>2.2589215583937245</v>
      </c>
    </row>
    <row r="24" spans="1:7" x14ac:dyDescent="0.2">
      <c r="A24" s="11" t="s">
        <v>129</v>
      </c>
      <c r="B24" s="17">
        <v>92829</v>
      </c>
      <c r="C24" s="17">
        <v>0</v>
      </c>
      <c r="D24" s="17">
        <v>99390</v>
      </c>
      <c r="E24" s="17">
        <v>99390</v>
      </c>
      <c r="F24" s="17">
        <v>103663</v>
      </c>
      <c r="G24" s="18">
        <f>IF(AND(F65&lt;&gt;0,103663&lt;&gt;0),IF(100*103663/(F65-0)&lt;0.005,"*",100*103663/(F65-0)),0)</f>
        <v>2.0571786232662035</v>
      </c>
    </row>
    <row r="25" spans="1:7" x14ac:dyDescent="0.2">
      <c r="A25" s="11" t="s">
        <v>130</v>
      </c>
      <c r="B25" s="17">
        <v>13328</v>
      </c>
      <c r="C25" s="17">
        <v>0</v>
      </c>
      <c r="D25" s="17">
        <v>14270</v>
      </c>
      <c r="E25" s="17">
        <v>14270</v>
      </c>
      <c r="F25" s="17">
        <v>14883</v>
      </c>
      <c r="G25" s="18">
        <f>IF(AND(F65&lt;&gt;0,14883&lt;&gt;0),IF(100*14883/(F65-0)&lt;0.005,"*",100*14883/(F65-0)),0)</f>
        <v>0.29535118074984235</v>
      </c>
    </row>
    <row r="26" spans="1:7" x14ac:dyDescent="0.2">
      <c r="A26" s="11" t="s">
        <v>131</v>
      </c>
      <c r="B26" s="17">
        <v>69606</v>
      </c>
      <c r="C26" s="17">
        <v>0</v>
      </c>
      <c r="D26" s="17">
        <v>74526</v>
      </c>
      <c r="E26" s="17">
        <v>74526</v>
      </c>
      <c r="F26" s="17">
        <v>77730</v>
      </c>
      <c r="G26" s="18">
        <f>IF(AND(F65&lt;&gt;0,77730&lt;&gt;0),IF(100*77730/(F65-0)&lt;0.005,"*",100*77730/(F65-0)),0)</f>
        <v>1.5425416434647077</v>
      </c>
    </row>
    <row r="27" spans="1:7" x14ac:dyDescent="0.2">
      <c r="A27" s="11" t="s">
        <v>132</v>
      </c>
      <c r="B27" s="17">
        <v>68919</v>
      </c>
      <c r="C27" s="17">
        <v>0</v>
      </c>
      <c r="D27" s="17">
        <v>73790</v>
      </c>
      <c r="E27" s="17">
        <v>73790</v>
      </c>
      <c r="F27" s="17">
        <v>76962</v>
      </c>
      <c r="G27" s="18">
        <f>IF(AND(F65&lt;&gt;0,76962&lt;&gt;0),IF(100*76962/(F65-0)&lt;0.005,"*",100*76962/(F65-0)),0)</f>
        <v>1.5273007843089004</v>
      </c>
    </row>
    <row r="28" spans="1:7" x14ac:dyDescent="0.2">
      <c r="A28" s="11" t="s">
        <v>133</v>
      </c>
      <c r="B28" s="17">
        <v>120642</v>
      </c>
      <c r="C28" s="17">
        <v>0</v>
      </c>
      <c r="D28" s="17">
        <v>129169</v>
      </c>
      <c r="E28" s="17">
        <v>129169</v>
      </c>
      <c r="F28" s="17">
        <v>134722</v>
      </c>
      <c r="G28" s="18">
        <f>IF(AND(F65&lt;&gt;0,134722&lt;&gt;0),IF(100*134722/(F65-0)&lt;0.005,"*",100*134722/(F65-0)),0)</f>
        <v>2.6735403999852356</v>
      </c>
    </row>
    <row r="29" spans="1:7" x14ac:dyDescent="0.2">
      <c r="A29" s="11" t="s">
        <v>134</v>
      </c>
      <c r="B29" s="17">
        <v>52740</v>
      </c>
      <c r="C29" s="17">
        <v>0</v>
      </c>
      <c r="D29" s="17">
        <v>56468</v>
      </c>
      <c r="E29" s="17">
        <v>56468</v>
      </c>
      <c r="F29" s="17">
        <v>58895</v>
      </c>
      <c r="G29" s="18">
        <f>IF(AND(F65&lt;&gt;0,58895&lt;&gt;0),IF(100*58895/(F65-0)&lt;0.005,"*",100*58895/(F65-0)),0)</f>
        <v>1.1687635416422739</v>
      </c>
    </row>
    <row r="30" spans="1:7" x14ac:dyDescent="0.2">
      <c r="A30" s="11" t="s">
        <v>135</v>
      </c>
      <c r="B30" s="17">
        <v>65250</v>
      </c>
      <c r="C30" s="17">
        <v>0</v>
      </c>
      <c r="D30" s="17">
        <v>69862</v>
      </c>
      <c r="E30" s="17">
        <v>69862</v>
      </c>
      <c r="F30" s="17">
        <v>72865</v>
      </c>
      <c r="G30" s="18">
        <f>IF(AND(F65&lt;&gt;0,72865&lt;&gt;0),IF(100*72865/(F65-0)&lt;0.005,"*",100*72865/(F65-0)),0)</f>
        <v>1.4459963572759029</v>
      </c>
    </row>
    <row r="31" spans="1:7" x14ac:dyDescent="0.2">
      <c r="A31" s="11" t="s">
        <v>136</v>
      </c>
      <c r="B31" s="17">
        <v>80729</v>
      </c>
      <c r="C31" s="17">
        <v>0</v>
      </c>
      <c r="D31" s="17">
        <v>86435</v>
      </c>
      <c r="E31" s="17">
        <v>86435</v>
      </c>
      <c r="F31" s="17">
        <v>90151</v>
      </c>
      <c r="G31" s="18">
        <f>IF(AND(F65&lt;&gt;0,90151&lt;&gt;0),IF(100*90151/(F65-0)&lt;0.005,"*",100*90151/(F65-0)),0)</f>
        <v>1.78903475749372</v>
      </c>
    </row>
    <row r="32" spans="1:7" x14ac:dyDescent="0.2">
      <c r="A32" s="11" t="s">
        <v>137</v>
      </c>
      <c r="B32" s="17">
        <v>10821</v>
      </c>
      <c r="C32" s="17">
        <v>0</v>
      </c>
      <c r="D32" s="17">
        <v>11586</v>
      </c>
      <c r="E32" s="17">
        <v>11586</v>
      </c>
      <c r="F32" s="17">
        <v>12084</v>
      </c>
      <c r="G32" s="18">
        <f>IF(AND(F65&lt;&gt;0,12084&lt;&gt;0),IF(100*12084/(F65-0)&lt;0.005,"*",100*12084/(F65-0)),0)</f>
        <v>0.23980539327965428</v>
      </c>
    </row>
    <row r="33" spans="1:7" x14ac:dyDescent="0.2">
      <c r="A33" s="11" t="s">
        <v>138</v>
      </c>
      <c r="B33" s="17">
        <v>20409</v>
      </c>
      <c r="C33" s="17">
        <v>0</v>
      </c>
      <c r="D33" s="17">
        <v>21851</v>
      </c>
      <c r="E33" s="17">
        <v>21851</v>
      </c>
      <c r="F33" s="17">
        <v>22791</v>
      </c>
      <c r="G33" s="18">
        <f>IF(AND(F65&lt;&gt;0,22791&lt;&gt;0),IF(100*22791/(F65-0)&lt;0.005,"*",100*22791/(F65-0)),0)</f>
        <v>0.45228440236979484</v>
      </c>
    </row>
    <row r="34" spans="1:7" x14ac:dyDescent="0.2">
      <c r="A34" s="11" t="s">
        <v>139</v>
      </c>
      <c r="B34" s="17">
        <v>40730</v>
      </c>
      <c r="C34" s="17">
        <v>0</v>
      </c>
      <c r="D34" s="17">
        <v>43609</v>
      </c>
      <c r="E34" s="17">
        <v>43609</v>
      </c>
      <c r="F34" s="17">
        <v>45483</v>
      </c>
      <c r="G34" s="18">
        <f>IF(AND(F65&lt;&gt;0,45483&lt;&gt;0),IF(100*45483/(F65-0)&lt;0.005,"*",100*45483/(F65-0)),0)</f>
        <v>0.90260416273903643</v>
      </c>
    </row>
    <row r="35" spans="1:7" x14ac:dyDescent="0.2">
      <c r="A35" s="11" t="s">
        <v>140</v>
      </c>
      <c r="B35" s="17">
        <v>5573</v>
      </c>
      <c r="C35" s="17">
        <v>0</v>
      </c>
      <c r="D35" s="17">
        <v>5967</v>
      </c>
      <c r="E35" s="17">
        <v>5967</v>
      </c>
      <c r="F35" s="17">
        <v>6223</v>
      </c>
      <c r="G35" s="18">
        <f>IF(AND(F65&lt;&gt;0,6223&lt;&gt;0),IF(100*6223/(F65-0)&lt;0.005,"*",100*6223/(F65-0)),0)</f>
        <v>0.12349461787316192</v>
      </c>
    </row>
    <row r="36" spans="1:7" x14ac:dyDescent="0.2">
      <c r="A36" s="11" t="s">
        <v>141</v>
      </c>
      <c r="B36" s="17">
        <v>100527</v>
      </c>
      <c r="C36" s="17">
        <v>0</v>
      </c>
      <c r="D36" s="17">
        <v>107632</v>
      </c>
      <c r="E36" s="17">
        <v>107632</v>
      </c>
      <c r="F36" s="17">
        <v>112259</v>
      </c>
      <c r="G36" s="18">
        <f>IF(AND(F65&lt;&gt;0,112259&lt;&gt;0),IF(100*112259/(F65-0)&lt;0.005,"*",100*112259/(F65-0)),0)</f>
        <v>2.2277651145465667</v>
      </c>
    </row>
    <row r="37" spans="1:7" x14ac:dyDescent="0.2">
      <c r="A37" s="11" t="s">
        <v>142</v>
      </c>
      <c r="B37" s="17">
        <v>43146</v>
      </c>
      <c r="C37" s="17">
        <v>0</v>
      </c>
      <c r="D37" s="17">
        <v>46195</v>
      </c>
      <c r="E37" s="17">
        <v>46195</v>
      </c>
      <c r="F37" s="17">
        <v>48181</v>
      </c>
      <c r="G37" s="18">
        <f>IF(AND(F65&lt;&gt;0,48181&lt;&gt;0),IF(100*48181/(F65-0)&lt;0.005,"*",100*48181/(F65-0)),0)</f>
        <v>0.95614561847128621</v>
      </c>
    </row>
    <row r="38" spans="1:7" x14ac:dyDescent="0.2">
      <c r="A38" s="11" t="s">
        <v>143</v>
      </c>
      <c r="B38" s="17">
        <v>271487</v>
      </c>
      <c r="C38" s="17">
        <v>0</v>
      </c>
      <c r="D38" s="17">
        <v>290675</v>
      </c>
      <c r="E38" s="17">
        <v>290675</v>
      </c>
      <c r="F38" s="17">
        <v>303171</v>
      </c>
      <c r="G38" s="18">
        <f>IF(AND(F65&lt;&gt;0,303171&lt;&gt;0),IF(100*303171/(F65-0)&lt;0.005,"*",100*303171/(F65-0)),0)</f>
        <v>6.0163886863609788</v>
      </c>
    </row>
    <row r="39" spans="1:7" x14ac:dyDescent="0.2">
      <c r="A39" s="11" t="s">
        <v>144</v>
      </c>
      <c r="B39" s="17">
        <v>140626</v>
      </c>
      <c r="C39" s="17">
        <v>0</v>
      </c>
      <c r="D39" s="17">
        <v>150565</v>
      </c>
      <c r="E39" s="17">
        <v>150565</v>
      </c>
      <c r="F39" s="17">
        <v>157038</v>
      </c>
      <c r="G39" s="18">
        <f>IF(AND(F65&lt;&gt;0,157038&lt;&gt;0),IF(100*157038/(F65-0)&lt;0.005,"*",100*157038/(F65-0)),0)</f>
        <v>3.1163984897261132</v>
      </c>
    </row>
    <row r="40" spans="1:7" x14ac:dyDescent="0.2">
      <c r="A40" s="11" t="s">
        <v>145</v>
      </c>
      <c r="B40" s="17">
        <v>6156</v>
      </c>
      <c r="C40" s="17">
        <v>0</v>
      </c>
      <c r="D40" s="17">
        <v>6591</v>
      </c>
      <c r="E40" s="17">
        <v>6591</v>
      </c>
      <c r="F40" s="17">
        <v>6874</v>
      </c>
      <c r="G40" s="18">
        <f>IF(AND(F65&lt;&gt;0,6874&lt;&gt;0),IF(100*6874/(F65-0)&lt;0.005,"*",100*6874/(F65-0)),0)</f>
        <v>0.13641362739195165</v>
      </c>
    </row>
    <row r="41" spans="1:7" x14ac:dyDescent="0.2">
      <c r="A41" s="11" t="s">
        <v>146</v>
      </c>
      <c r="B41" s="17">
        <v>125912</v>
      </c>
      <c r="C41" s="17">
        <v>0</v>
      </c>
      <c r="D41" s="17">
        <v>134811</v>
      </c>
      <c r="E41" s="17">
        <v>134811</v>
      </c>
      <c r="F41" s="17">
        <v>140607</v>
      </c>
      <c r="G41" s="18">
        <f>IF(AND(F65&lt;&gt;0,140607&lt;&gt;0),IF(100*140607/(F65-0)&lt;0.005,"*",100*140607/(F65-0)),0)</f>
        <v>2.790327452240347</v>
      </c>
    </row>
    <row r="42" spans="1:7" x14ac:dyDescent="0.2">
      <c r="A42" s="11" t="s">
        <v>147</v>
      </c>
      <c r="B42" s="17">
        <v>56548</v>
      </c>
      <c r="C42" s="17">
        <v>0</v>
      </c>
      <c r="D42" s="17">
        <v>60545</v>
      </c>
      <c r="E42" s="17">
        <v>60545</v>
      </c>
      <c r="F42" s="17">
        <v>63148</v>
      </c>
      <c r="G42" s="18">
        <f>IF(AND(F65&lt;&gt;0,63148&lt;&gt;0),IF(100*63148/(F65-0)&lt;0.005,"*",100*63148/(F65-0)),0)</f>
        <v>1.253163768191295</v>
      </c>
    </row>
    <row r="43" spans="1:7" x14ac:dyDescent="0.2">
      <c r="A43" s="11" t="s">
        <v>148</v>
      </c>
      <c r="B43" s="17">
        <v>38524</v>
      </c>
      <c r="C43" s="17">
        <v>0</v>
      </c>
      <c r="D43" s="17">
        <v>41247</v>
      </c>
      <c r="E43" s="17">
        <v>41247</v>
      </c>
      <c r="F43" s="17">
        <v>43020</v>
      </c>
      <c r="G43" s="18">
        <f>IF(AND(F65&lt;&gt;0,43020&lt;&gt;0),IF(100*43020/(F65-0)&lt;0.005,"*",100*43020/(F65-0)),0)</f>
        <v>0.85372625114951406</v>
      </c>
    </row>
    <row r="44" spans="1:7" x14ac:dyDescent="0.2">
      <c r="A44" s="11" t="s">
        <v>149</v>
      </c>
      <c r="B44" s="17">
        <v>132453</v>
      </c>
      <c r="C44" s="17">
        <v>0</v>
      </c>
      <c r="D44" s="17">
        <v>141814</v>
      </c>
      <c r="E44" s="17">
        <v>141814</v>
      </c>
      <c r="F44" s="17">
        <v>147911</v>
      </c>
      <c r="G44" s="18">
        <f>IF(AND(F65&lt;&gt;0,147911&lt;&gt;0),IF(100*147911/(F65-0)&lt;0.005,"*",100*147911/(F65-0)),0)</f>
        <v>2.935274373170055</v>
      </c>
    </row>
    <row r="45" spans="1:7" x14ac:dyDescent="0.2">
      <c r="A45" s="11" t="s">
        <v>150</v>
      </c>
      <c r="B45" s="17">
        <v>10581</v>
      </c>
      <c r="C45" s="17">
        <v>0</v>
      </c>
      <c r="D45" s="17">
        <v>11329</v>
      </c>
      <c r="E45" s="17">
        <v>11329</v>
      </c>
      <c r="F45" s="17">
        <v>11816</v>
      </c>
      <c r="G45" s="18">
        <f>IF(AND(F65&lt;&gt;0,11816&lt;&gt;0),IF(100*11816/(F65-0)&lt;0.005,"*",100*11816/(F65-0)),0)</f>
        <v>0.23448696847007572</v>
      </c>
    </row>
    <row r="46" spans="1:7" x14ac:dyDescent="0.2">
      <c r="A46" s="11" t="s">
        <v>151</v>
      </c>
      <c r="B46" s="17">
        <v>84386</v>
      </c>
      <c r="C46" s="17">
        <v>0</v>
      </c>
      <c r="D46" s="17">
        <v>90350</v>
      </c>
      <c r="E46" s="17">
        <v>90350</v>
      </c>
      <c r="F46" s="17">
        <v>94234</v>
      </c>
      <c r="G46" s="18">
        <f>IF(AND(F65&lt;&gt;0,94234&lt;&gt;0),IF(100*94234/(F65-0)&lt;0.005,"*",100*94234/(F65-0)),0)</f>
        <v>1.8700613563650232</v>
      </c>
    </row>
    <row r="47" spans="1:7" x14ac:dyDescent="0.2">
      <c r="A47" s="11" t="s">
        <v>152</v>
      </c>
      <c r="B47" s="17">
        <v>7212</v>
      </c>
      <c r="C47" s="17">
        <v>0</v>
      </c>
      <c r="D47" s="17">
        <v>7722</v>
      </c>
      <c r="E47" s="17">
        <v>7722</v>
      </c>
      <c r="F47" s="17">
        <v>8054</v>
      </c>
      <c r="G47" s="18">
        <f>IF(AND(F65&lt;&gt;0,8054&lt;&gt;0),IF(100*8054/(F65-0)&lt;0.005,"*",100*8054/(F65-0)),0)</f>
        <v>0.15983057244905127</v>
      </c>
    </row>
    <row r="48" spans="1:7" x14ac:dyDescent="0.2">
      <c r="A48" s="11" t="s">
        <v>153</v>
      </c>
      <c r="B48" s="17">
        <v>111882</v>
      </c>
      <c r="C48" s="17">
        <v>0</v>
      </c>
      <c r="D48" s="17">
        <v>119789</v>
      </c>
      <c r="E48" s="17">
        <v>119789</v>
      </c>
      <c r="F48" s="17">
        <v>124939</v>
      </c>
      <c r="G48" s="18">
        <f>IF(AND(F65&lt;&gt;0,124939&lt;&gt;0),IF(100*124939/(F65-0)&lt;0.005,"*",100*124939/(F65-0)),0)</f>
        <v>2.4793980495669254</v>
      </c>
    </row>
    <row r="49" spans="1:7" x14ac:dyDescent="0.2">
      <c r="A49" s="11" t="s">
        <v>154</v>
      </c>
      <c r="B49" s="17">
        <v>622478</v>
      </c>
      <c r="C49" s="17">
        <v>0</v>
      </c>
      <c r="D49" s="17">
        <v>666473</v>
      </c>
      <c r="E49" s="17">
        <v>666473</v>
      </c>
      <c r="F49" s="17">
        <v>695125</v>
      </c>
      <c r="G49" s="18">
        <f>IF(AND(F65&lt;&gt;0,695125&lt;&gt;0),IF(100*695125/(F65-0)&lt;0.005,"*",100*695125/(F65-0)),0)</f>
        <v>13.794664349844396</v>
      </c>
    </row>
    <row r="50" spans="1:7" x14ac:dyDescent="0.2">
      <c r="A50" s="11" t="s">
        <v>155</v>
      </c>
      <c r="B50" s="17">
        <v>22845</v>
      </c>
      <c r="C50" s="17">
        <v>0</v>
      </c>
      <c r="D50" s="17">
        <v>24460</v>
      </c>
      <c r="E50" s="17">
        <v>24460</v>
      </c>
      <c r="F50" s="17">
        <v>25511</v>
      </c>
      <c r="G50" s="18">
        <f>IF(AND(F65&lt;&gt;0,25511&lt;&gt;0),IF(100*25511/(F65-0)&lt;0.005,"*",100*25511/(F65-0)),0)</f>
        <v>0.50626244521327879</v>
      </c>
    </row>
    <row r="51" spans="1:7" x14ac:dyDescent="0.2">
      <c r="A51" s="11" t="s">
        <v>156</v>
      </c>
      <c r="B51" s="17">
        <v>6545</v>
      </c>
      <c r="C51" s="17">
        <v>0</v>
      </c>
      <c r="D51" s="17">
        <v>7008</v>
      </c>
      <c r="E51" s="17">
        <v>7008</v>
      </c>
      <c r="F51" s="17">
        <v>7309</v>
      </c>
      <c r="G51" s="18">
        <f>IF(AND(F65&lt;&gt;0,7309&lt;&gt;0),IF(100*7309/(F65-0)&lt;0.005,"*",100*7309/(F65-0)),0)</f>
        <v>0.14504614527317058</v>
      </c>
    </row>
    <row r="52" spans="1:7" x14ac:dyDescent="0.2">
      <c r="A52" s="11" t="s">
        <v>157</v>
      </c>
      <c r="B52" s="17">
        <v>99049</v>
      </c>
      <c r="C52" s="17">
        <v>0</v>
      </c>
      <c r="D52" s="17">
        <v>106049</v>
      </c>
      <c r="E52" s="17">
        <v>106049</v>
      </c>
      <c r="F52" s="17">
        <v>110609</v>
      </c>
      <c r="G52" s="18">
        <f>IF(AND(F65&lt;&gt;0,110609&lt;&gt;0),IF(100*110609/(F65-0)&lt;0.005,"*",100*110609/(F65-0)),0)</f>
        <v>2.1950210812040121</v>
      </c>
    </row>
    <row r="53" spans="1:7" x14ac:dyDescent="0.2">
      <c r="A53" s="11" t="s">
        <v>158</v>
      </c>
      <c r="B53" s="17">
        <v>59232</v>
      </c>
      <c r="C53" s="17">
        <v>0</v>
      </c>
      <c r="D53" s="17">
        <v>63418</v>
      </c>
      <c r="E53" s="17">
        <v>63418</v>
      </c>
      <c r="F53" s="17">
        <v>66145</v>
      </c>
      <c r="G53" s="18">
        <f>IF(AND(F65&lt;&gt;0,66145&lt;&gt;0),IF(100*66145/(F65-0)&lt;0.005,"*",100*66145/(F65-0)),0)</f>
        <v>1.3126388396625897</v>
      </c>
    </row>
    <row r="54" spans="1:7" x14ac:dyDescent="0.2">
      <c r="A54" s="11" t="s">
        <v>159</v>
      </c>
      <c r="B54" s="17">
        <v>42702</v>
      </c>
      <c r="C54" s="17">
        <v>0</v>
      </c>
      <c r="D54" s="17">
        <v>45720</v>
      </c>
      <c r="E54" s="17">
        <v>45720</v>
      </c>
      <c r="F54" s="17">
        <v>47686</v>
      </c>
      <c r="G54" s="18">
        <f>IF(AND(F65&lt;&gt;0,47686&lt;&gt;0),IF(100*47686/(F65-0)&lt;0.005,"*",100*47686/(F65-0)),0)</f>
        <v>0.94632240846851989</v>
      </c>
    </row>
    <row r="55" spans="1:7" x14ac:dyDescent="0.2">
      <c r="A55" s="11" t="s">
        <v>160</v>
      </c>
      <c r="B55" s="17">
        <v>54948</v>
      </c>
      <c r="C55" s="17">
        <v>0</v>
      </c>
      <c r="D55" s="17">
        <v>58832</v>
      </c>
      <c r="E55" s="17">
        <v>58832</v>
      </c>
      <c r="F55" s="17">
        <v>61361</v>
      </c>
      <c r="G55" s="18">
        <f>IF(AND(F65&lt;&gt;0,61361&lt;&gt;0),IF(100*61361/(F65-0)&lt;0.005,"*",100*61361/(F65-0)),0)</f>
        <v>1.2177009878378737</v>
      </c>
    </row>
    <row r="56" spans="1:7" x14ac:dyDescent="0.2">
      <c r="A56" s="11" t="s">
        <v>161</v>
      </c>
      <c r="B56" s="17">
        <v>4225</v>
      </c>
      <c r="C56" s="17">
        <v>0</v>
      </c>
      <c r="D56" s="17">
        <v>4524</v>
      </c>
      <c r="E56" s="17">
        <v>4524</v>
      </c>
      <c r="F56" s="17">
        <v>4718</v>
      </c>
      <c r="G56" s="18">
        <f>IF(AND(F65&lt;&gt;0,4718&lt;&gt;0),IF(100*4718/(F65-0)&lt;0.005,"*",100*4718/(F65-0)),0)</f>
        <v>9.3628090491013644E-2</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3611</v>
      </c>
      <c r="C58" s="17">
        <v>0</v>
      </c>
      <c r="D58" s="17">
        <v>3866</v>
      </c>
      <c r="E58" s="17">
        <v>3866</v>
      </c>
      <c r="F58" s="17">
        <v>4032</v>
      </c>
      <c r="G58" s="18">
        <f>IF(AND(F65&lt;&gt;0,4032&lt;&gt;0),IF(100*4032/(F65-0)&lt;0.005,"*",100*4032/(F65-0)),0)</f>
        <v>8.0014510567987931E-2</v>
      </c>
    </row>
    <row r="59" spans="1:7" x14ac:dyDescent="0.2">
      <c r="A59" s="11" t="s">
        <v>164</v>
      </c>
      <c r="B59" s="17">
        <v>0</v>
      </c>
      <c r="C59" s="17">
        <v>0</v>
      </c>
      <c r="D59" s="17">
        <v>0</v>
      </c>
      <c r="E59" s="17">
        <v>0</v>
      </c>
      <c r="F59" s="17">
        <v>0</v>
      </c>
      <c r="G59" s="18">
        <f>IF(AND(F65&lt;&gt;0,0&lt;&gt;0),IF(100*0/(F65-0)&lt;0.005,"*",100*0/(F65-0)),0)</f>
        <v>0</v>
      </c>
    </row>
    <row r="60" spans="1:7" x14ac:dyDescent="0.2">
      <c r="A60" s="11" t="s">
        <v>165</v>
      </c>
      <c r="B60" s="17">
        <v>24189</v>
      </c>
      <c r="C60" s="17">
        <v>0</v>
      </c>
      <c r="D60" s="17">
        <v>25899</v>
      </c>
      <c r="E60" s="17">
        <v>25899</v>
      </c>
      <c r="F60" s="17">
        <v>27012</v>
      </c>
      <c r="G60" s="18">
        <f>IF(AND(F65&lt;&gt;0,27012&lt;&gt;0),IF(100*27012/(F65-0)&lt;0.005,"*",100*27012/(F65-0)),0)</f>
        <v>0.53604959312065725</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607</v>
      </c>
      <c r="C62" s="17">
        <v>0</v>
      </c>
      <c r="D62" s="17">
        <v>650</v>
      </c>
      <c r="E62" s="17">
        <v>650</v>
      </c>
      <c r="F62" s="17">
        <v>678</v>
      </c>
      <c r="G62" s="18">
        <f>IF(AND(F65&lt;&gt;0,678&lt;&gt;0),IF(100*678/(F65-0)&lt;0.005,"*",100*678/(F65-0)),0)</f>
        <v>1.3454820973486065E-2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140215</v>
      </c>
      <c r="C64" s="17">
        <v>0</v>
      </c>
      <c r="D64" s="17">
        <v>0</v>
      </c>
      <c r="E64" s="17">
        <v>0</v>
      </c>
      <c r="F64" s="17">
        <v>0</v>
      </c>
      <c r="G64" s="18">
        <v>0</v>
      </c>
    </row>
    <row r="65" spans="1:7" ht="15" customHeight="1" x14ac:dyDescent="0.2">
      <c r="A65" s="19" t="s">
        <v>110</v>
      </c>
      <c r="B65" s="20">
        <f>80973+12468+97007+58327+547115+45090+37463+14512+11615+274585+198044+11150+17382+148805+82547+28631+33360+101933+92829+13328+69606+68919+120642+52740+65250+80729+10821+20409+40730+5573+100527+43146+271487+140626+6156+125912+56548+38524+132453+10581+84386+7212+111882+622478+22845+6545+99049+59232+42702+54948+4225+0+3611+0+24189+0+607+0+140215+0</f>
        <v>4652669</v>
      </c>
      <c r="C65" s="20">
        <f>0+0+0+0+0+0+0+0+0+0+0+0+0+0+0+0+0+0+0+0+0+0+0+0+0+0+0+0+0+0+0+0+0+0+0+0+0+0+0+0+0+0+0+0+0+0+0+0+0+0+0+0+0+0+0+0+0+0+0+0</f>
        <v>0</v>
      </c>
      <c r="D65" s="20">
        <f>86696+13349+103863+62449+585783+48277+40111+15538+12436+293992+212041+11938+18611+159322+88381+30655+35718+109137+99390+14270+74526+73790+129169+56468+69862+86435+11586+21851+43609+5967+107632+46195+290675+150565+6591+134811+60545+41247+141814+11329+90350+7722+119789+666473+24460+7008+106049+63418+45720+58832+4524+0+3866+0+25899+0+650+0+0+0</f>
        <v>4831384</v>
      </c>
      <c r="E65" s="20">
        <f>SUM(C65:D65)</f>
        <v>4831384</v>
      </c>
      <c r="F65" s="20">
        <f>90423+13923+108328+65134+610967+50352+41835+16206+12971+306631+221157+12451+19411+166172+92181+31972+37253+113829+103663+14883+77730+76962+134722+58895+72865+90151+12084+22791+45483+6223+112259+48181+303171+157038+6874+140607+63148+43020+147911+11816+94234+8054+124939+695125+25511+7309+110609+66145+47686+61361+4718+0+4032+0+27012+0+678+0+0+0</f>
        <v>5039086</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99</v>
      </c>
      <c r="B1" s="10"/>
      <c r="C1" s="10"/>
      <c r="D1" s="10"/>
      <c r="E1" s="10"/>
      <c r="F1" s="10"/>
      <c r="G1" s="12" t="s">
        <v>100</v>
      </c>
    </row>
    <row r="2" spans="1:7" x14ac:dyDescent="0.2">
      <c r="A2" s="13" t="s">
        <v>173</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215826</v>
      </c>
      <c r="C6" s="17">
        <v>28265</v>
      </c>
      <c r="D6" s="17">
        <v>204587</v>
      </c>
      <c r="E6" s="17">
        <v>232852</v>
      </c>
      <c r="F6" s="17">
        <v>235017</v>
      </c>
      <c r="G6" s="18">
        <f>IF(AND(F65&lt;&gt;0,235017&lt;&gt;0),IF(100*235017/(F65-0)&lt;0.005,"*",100*235017/(F65-0)),0)</f>
        <v>1.6884427699177471</v>
      </c>
    </row>
    <row r="7" spans="1:7" x14ac:dyDescent="0.2">
      <c r="A7" s="11" t="s">
        <v>112</v>
      </c>
      <c r="B7" s="17">
        <v>36489</v>
      </c>
      <c r="C7" s="17">
        <v>4779</v>
      </c>
      <c r="D7" s="17">
        <v>34589</v>
      </c>
      <c r="E7" s="17">
        <v>39368</v>
      </c>
      <c r="F7" s="17">
        <v>39734</v>
      </c>
      <c r="G7" s="18">
        <f>IF(AND(F65&lt;&gt;0,39734&lt;&gt;0),IF(100*39734/(F65-0)&lt;0.005,"*",100*39734/(F65-0)),0)</f>
        <v>0.28546269001779345</v>
      </c>
    </row>
    <row r="8" spans="1:7" x14ac:dyDescent="0.2">
      <c r="A8" s="11" t="s">
        <v>113</v>
      </c>
      <c r="B8" s="17">
        <v>281436</v>
      </c>
      <c r="C8" s="17">
        <v>36857</v>
      </c>
      <c r="D8" s="17">
        <v>266780</v>
      </c>
      <c r="E8" s="17">
        <v>303637</v>
      </c>
      <c r="F8" s="17">
        <v>306461</v>
      </c>
      <c r="G8" s="18">
        <f>IF(AND(F65&lt;&gt;0,306461&lt;&gt;0),IF(100*306461/(F65-0)&lt;0.005,"*",100*306461/(F65-0)),0)</f>
        <v>2.2017209806599638</v>
      </c>
    </row>
    <row r="9" spans="1:7" x14ac:dyDescent="0.2">
      <c r="A9" s="11" t="s">
        <v>114</v>
      </c>
      <c r="B9" s="17">
        <v>141425</v>
      </c>
      <c r="C9" s="17">
        <v>18521</v>
      </c>
      <c r="D9" s="17">
        <v>134060</v>
      </c>
      <c r="E9" s="17">
        <v>152581</v>
      </c>
      <c r="F9" s="17">
        <v>154000</v>
      </c>
      <c r="G9" s="18">
        <f>IF(AND(F65&lt;&gt;0,154000&lt;&gt;0),IF(100*154000/(F65-0)&lt;0.005,"*",100*154000/(F65-0)),0)</f>
        <v>1.106388842370267</v>
      </c>
    </row>
    <row r="10" spans="1:7" x14ac:dyDescent="0.2">
      <c r="A10" s="11" t="s">
        <v>115</v>
      </c>
      <c r="B10" s="17">
        <v>1565146</v>
      </c>
      <c r="C10" s="17">
        <v>204972</v>
      </c>
      <c r="D10" s="17">
        <v>1485642</v>
      </c>
      <c r="E10" s="17">
        <v>1690614</v>
      </c>
      <c r="F10" s="17">
        <v>1706315</v>
      </c>
      <c r="G10" s="18">
        <f>IF(AND(F65&lt;&gt;0,1706315&lt;&gt;0),IF(100*1706315/(F65-0)&lt;0.005,"*",100*1706315/(F65-0)),0)</f>
        <v>12.258752451746899</v>
      </c>
    </row>
    <row r="11" spans="1:7" x14ac:dyDescent="0.2">
      <c r="A11" s="11" t="s">
        <v>116</v>
      </c>
      <c r="B11" s="17">
        <v>130318</v>
      </c>
      <c r="C11" s="17">
        <v>17066</v>
      </c>
      <c r="D11" s="17">
        <v>123532</v>
      </c>
      <c r="E11" s="17">
        <v>140598</v>
      </c>
      <c r="F11" s="17">
        <v>141906</v>
      </c>
      <c r="G11" s="18">
        <f>IF(AND(F65&lt;&gt;0,141906&lt;&gt;0),IF(100*141906/(F65-0)&lt;0.005,"*",100*141906/(F65-0)),0)</f>
        <v>1.0195013965285398</v>
      </c>
    </row>
    <row r="12" spans="1:7" x14ac:dyDescent="0.2">
      <c r="A12" s="11" t="s">
        <v>117</v>
      </c>
      <c r="B12" s="17">
        <v>119283</v>
      </c>
      <c r="C12" s="17">
        <v>15621</v>
      </c>
      <c r="D12" s="17">
        <v>113071</v>
      </c>
      <c r="E12" s="17">
        <v>128692</v>
      </c>
      <c r="F12" s="17">
        <v>129889</v>
      </c>
      <c r="G12" s="18">
        <f>IF(AND(F65&lt;&gt;0,129889&lt;&gt;0),IF(100*129889/(F65-0)&lt;0.005,"*",100*129889/(F65-0)),0)</f>
        <v>0.93316714510799759</v>
      </c>
    </row>
    <row r="13" spans="1:7" x14ac:dyDescent="0.2">
      <c r="A13" s="11" t="s">
        <v>118</v>
      </c>
      <c r="B13" s="17">
        <v>37430</v>
      </c>
      <c r="C13" s="17">
        <v>4902</v>
      </c>
      <c r="D13" s="17">
        <v>35481</v>
      </c>
      <c r="E13" s="17">
        <v>40383</v>
      </c>
      <c r="F13" s="17">
        <v>40758</v>
      </c>
      <c r="G13" s="18">
        <f>IF(AND(F65&lt;&gt;0,40758&lt;&gt;0),IF(100*40758/(F65-0)&lt;0.005,"*",100*40758/(F65-0)),0)</f>
        <v>0.29281945738524251</v>
      </c>
    </row>
    <row r="14" spans="1:7" x14ac:dyDescent="0.2">
      <c r="A14" s="11" t="s">
        <v>119</v>
      </c>
      <c r="B14" s="17">
        <v>28579</v>
      </c>
      <c r="C14" s="17">
        <v>3743</v>
      </c>
      <c r="D14" s="17">
        <v>27091</v>
      </c>
      <c r="E14" s="17">
        <v>30834</v>
      </c>
      <c r="F14" s="17">
        <v>31120</v>
      </c>
      <c r="G14" s="18">
        <f>IF(AND(F65&lt;&gt;0,31120&lt;&gt;0),IF(100*31120/(F65-0)&lt;0.005,"*",100*31120/(F65-0)),0)</f>
        <v>0.22357675827638124</v>
      </c>
    </row>
    <row r="15" spans="1:7" x14ac:dyDescent="0.2">
      <c r="A15" s="11" t="s">
        <v>120</v>
      </c>
      <c r="B15" s="17">
        <v>870043</v>
      </c>
      <c r="C15" s="17">
        <v>113941</v>
      </c>
      <c r="D15" s="17">
        <v>824736</v>
      </c>
      <c r="E15" s="17">
        <v>938677</v>
      </c>
      <c r="F15" s="17">
        <v>947405</v>
      </c>
      <c r="G15" s="18">
        <f>IF(AND(F65&lt;&gt;0,947405&lt;&gt;0),IF(100*947405/(F65-0)&lt;0.005,"*",100*947405/(F65-0)),0)</f>
        <v>6.8064826052324863</v>
      </c>
    </row>
    <row r="16" spans="1:7" x14ac:dyDescent="0.2">
      <c r="A16" s="11" t="s">
        <v>121</v>
      </c>
      <c r="B16" s="17">
        <v>528392</v>
      </c>
      <c r="C16" s="17">
        <v>69198</v>
      </c>
      <c r="D16" s="17">
        <v>500876</v>
      </c>
      <c r="E16" s="17">
        <v>570074</v>
      </c>
      <c r="F16" s="17">
        <v>575375</v>
      </c>
      <c r="G16" s="18">
        <f>IF(AND(F65&lt;&gt;0,575375&lt;&gt;0),IF(100*575375/(F65-0)&lt;0.005,"*",100*575375/(F65-0)),0)</f>
        <v>4.1336914297324183</v>
      </c>
    </row>
    <row r="17" spans="1:7" x14ac:dyDescent="0.2">
      <c r="A17" s="11" t="s">
        <v>122</v>
      </c>
      <c r="B17" s="17">
        <v>47152</v>
      </c>
      <c r="C17" s="17">
        <v>6175</v>
      </c>
      <c r="D17" s="17">
        <v>44697</v>
      </c>
      <c r="E17" s="17">
        <v>50872</v>
      </c>
      <c r="F17" s="17">
        <v>51345</v>
      </c>
      <c r="G17" s="18">
        <f>IF(AND(F65&lt;&gt;0,51345&lt;&gt;0),IF(100*51345/(F65-0)&lt;0.005,"*",100*51345/(F65-0)),0)</f>
        <v>0.36888009812663225</v>
      </c>
    </row>
    <row r="18" spans="1:7" x14ac:dyDescent="0.2">
      <c r="A18" s="11" t="s">
        <v>123</v>
      </c>
      <c r="B18" s="17">
        <v>51392</v>
      </c>
      <c r="C18" s="17">
        <v>6730</v>
      </c>
      <c r="D18" s="17">
        <v>48716</v>
      </c>
      <c r="E18" s="17">
        <v>55446</v>
      </c>
      <c r="F18" s="17">
        <v>55962</v>
      </c>
      <c r="G18" s="18">
        <f>IF(AND(F65&lt;&gt;0,55962&lt;&gt;0),IF(100*55962/(F65-0)&lt;0.005,"*",100*55962/(F65-0)),0)</f>
        <v>0.40205021036834343</v>
      </c>
    </row>
    <row r="19" spans="1:7" x14ac:dyDescent="0.2">
      <c r="A19" s="11" t="s">
        <v>124</v>
      </c>
      <c r="B19" s="17">
        <v>462322</v>
      </c>
      <c r="C19" s="17">
        <v>60546</v>
      </c>
      <c r="D19" s="17">
        <v>438247</v>
      </c>
      <c r="E19" s="17">
        <v>498793</v>
      </c>
      <c r="F19" s="17">
        <v>503430</v>
      </c>
      <c r="G19" s="18">
        <f>IF(AND(F65&lt;&gt;0,503430&lt;&gt;0),IF(100*503430/(F65-0)&lt;0.005,"*",100*503430/(F65-0)),0)</f>
        <v>3.6168138630809321</v>
      </c>
    </row>
    <row r="20" spans="1:7" x14ac:dyDescent="0.2">
      <c r="A20" s="11" t="s">
        <v>125</v>
      </c>
      <c r="B20" s="17">
        <v>272045</v>
      </c>
      <c r="C20" s="17">
        <v>35627</v>
      </c>
      <c r="D20" s="17">
        <v>257879</v>
      </c>
      <c r="E20" s="17">
        <v>293506</v>
      </c>
      <c r="F20" s="17">
        <v>296235</v>
      </c>
      <c r="G20" s="18">
        <f>IF(AND(F65&lt;&gt;0,296235&lt;&gt;0),IF(100*296235/(F65-0)&lt;0.005,"*",100*296235/(F65-0)),0)</f>
        <v>2.1282538877893251</v>
      </c>
    </row>
    <row r="21" spans="1:7" x14ac:dyDescent="0.2">
      <c r="A21" s="11" t="s">
        <v>126</v>
      </c>
      <c r="B21" s="17">
        <v>116347</v>
      </c>
      <c r="C21" s="17">
        <v>15237</v>
      </c>
      <c r="D21" s="17">
        <v>110288</v>
      </c>
      <c r="E21" s="17">
        <v>125525</v>
      </c>
      <c r="F21" s="17">
        <v>126692</v>
      </c>
      <c r="G21" s="18">
        <f>IF(AND(F65&lt;&gt;0,126692&lt;&gt;0),IF(100*126692/(F65-0)&lt;0.005,"*",100*126692/(F65-0)),0)</f>
        <v>0.91019880011411614</v>
      </c>
    </row>
    <row r="22" spans="1:7" x14ac:dyDescent="0.2">
      <c r="A22" s="11" t="s">
        <v>127</v>
      </c>
      <c r="B22" s="17">
        <v>107237</v>
      </c>
      <c r="C22" s="17">
        <v>14044</v>
      </c>
      <c r="D22" s="17">
        <v>101653</v>
      </c>
      <c r="E22" s="17">
        <v>115697</v>
      </c>
      <c r="F22" s="17">
        <v>116772</v>
      </c>
      <c r="G22" s="18">
        <f>IF(AND(F65&lt;&gt;0,116772&lt;&gt;0),IF(100*116772/(F65-0)&lt;0.005,"*",100*116772/(F65-0)),0)</f>
        <v>0.83893011624195346</v>
      </c>
    </row>
    <row r="23" spans="1:7" x14ac:dyDescent="0.2">
      <c r="A23" s="11" t="s">
        <v>128</v>
      </c>
      <c r="B23" s="17">
        <v>242146</v>
      </c>
      <c r="C23" s="17">
        <v>31712</v>
      </c>
      <c r="D23" s="17">
        <v>229536</v>
      </c>
      <c r="E23" s="17">
        <v>261248</v>
      </c>
      <c r="F23" s="17">
        <v>263677</v>
      </c>
      <c r="G23" s="18">
        <f>IF(AND(F65&lt;&gt;0,263677&lt;&gt;0),IF(100*263677/(F65-0)&lt;0.005,"*",100*263677/(F65-0)),0)</f>
        <v>1.8943460440887332</v>
      </c>
    </row>
    <row r="24" spans="1:7" x14ac:dyDescent="0.2">
      <c r="A24" s="11" t="s">
        <v>129</v>
      </c>
      <c r="B24" s="17">
        <v>254076</v>
      </c>
      <c r="C24" s="17">
        <v>33274</v>
      </c>
      <c r="D24" s="17">
        <v>240845</v>
      </c>
      <c r="E24" s="17">
        <v>274119</v>
      </c>
      <c r="F24" s="17">
        <v>276668</v>
      </c>
      <c r="G24" s="18">
        <f>IF(AND(F65&lt;&gt;0,276668&lt;&gt;0),IF(100*276668/(F65-0)&lt;0.005,"*",100*276668/(F65-0)),0)</f>
        <v>1.9876778457201107</v>
      </c>
    </row>
    <row r="25" spans="1:7" x14ac:dyDescent="0.2">
      <c r="A25" s="11" t="s">
        <v>130</v>
      </c>
      <c r="B25" s="17">
        <v>37401</v>
      </c>
      <c r="C25" s="17">
        <v>4898</v>
      </c>
      <c r="D25" s="17">
        <v>35453</v>
      </c>
      <c r="E25" s="17">
        <v>40351</v>
      </c>
      <c r="F25" s="17">
        <v>40727</v>
      </c>
      <c r="G25" s="18">
        <f>IF(AND(F65&lt;&gt;0,40727&lt;&gt;0),IF(100*40727/(F65-0)&lt;0.005,"*",100*40727/(F65-0)),0)</f>
        <v>0.29259674274814201</v>
      </c>
    </row>
    <row r="26" spans="1:7" x14ac:dyDescent="0.2">
      <c r="A26" s="11" t="s">
        <v>131</v>
      </c>
      <c r="B26" s="17">
        <v>179538</v>
      </c>
      <c r="C26" s="17">
        <v>23512</v>
      </c>
      <c r="D26" s="17">
        <v>170189</v>
      </c>
      <c r="E26" s="17">
        <v>193701</v>
      </c>
      <c r="F26" s="17">
        <v>195502</v>
      </c>
      <c r="G26" s="18">
        <f>IF(AND(F65&lt;&gt;0,195502&lt;&gt;0),IF(100*195502/(F65-0)&lt;0.005,"*",100*195502/(F65-0)),0)</f>
        <v>1.4045534510459219</v>
      </c>
    </row>
    <row r="27" spans="1:7" x14ac:dyDescent="0.2">
      <c r="A27" s="11" t="s">
        <v>132</v>
      </c>
      <c r="B27" s="17">
        <v>203186</v>
      </c>
      <c r="C27" s="17">
        <v>26609</v>
      </c>
      <c r="D27" s="17">
        <v>192605</v>
      </c>
      <c r="E27" s="17">
        <v>219214</v>
      </c>
      <c r="F27" s="17">
        <v>221253</v>
      </c>
      <c r="G27" s="18">
        <f>IF(AND(F65&lt;&gt;0,221253&lt;&gt;0),IF(100*221253/(F65-0)&lt;0.005,"*",100*221253/(F65-0)),0)</f>
        <v>1.5895574710451215</v>
      </c>
    </row>
    <row r="28" spans="1:7" x14ac:dyDescent="0.2">
      <c r="A28" s="11" t="s">
        <v>133</v>
      </c>
      <c r="B28" s="17">
        <v>322723</v>
      </c>
      <c r="C28" s="17">
        <v>42264</v>
      </c>
      <c r="D28" s="17">
        <v>305917</v>
      </c>
      <c r="E28" s="17">
        <v>348181</v>
      </c>
      <c r="F28" s="17">
        <v>351419</v>
      </c>
      <c r="G28" s="18">
        <f>IF(AND(F65&lt;&gt;0,351419&lt;&gt;0),IF(100*351419/(F65-0)&lt;0.005,"*",100*351419/(F65-0)),0)</f>
        <v>2.5247146792007591</v>
      </c>
    </row>
    <row r="29" spans="1:7" x14ac:dyDescent="0.2">
      <c r="A29" s="11" t="s">
        <v>134</v>
      </c>
      <c r="B29" s="17">
        <v>164214</v>
      </c>
      <c r="C29" s="17">
        <v>21506</v>
      </c>
      <c r="D29" s="17">
        <v>155663</v>
      </c>
      <c r="E29" s="17">
        <v>177169</v>
      </c>
      <c r="F29" s="17">
        <v>178815</v>
      </c>
      <c r="G29" s="18">
        <f>IF(AND(F65&lt;&gt;0,178815&lt;&gt;0),IF(100*178815/(F65-0)&lt;0.005,"*",100*178815/(F65-0)),0)</f>
        <v>1.2846683171976578</v>
      </c>
    </row>
    <row r="30" spans="1:7" x14ac:dyDescent="0.2">
      <c r="A30" s="11" t="s">
        <v>135</v>
      </c>
      <c r="B30" s="17">
        <v>173342</v>
      </c>
      <c r="C30" s="17">
        <v>22701</v>
      </c>
      <c r="D30" s="17">
        <v>164315</v>
      </c>
      <c r="E30" s="17">
        <v>187016</v>
      </c>
      <c r="F30" s="17">
        <v>188755</v>
      </c>
      <c r="G30" s="18">
        <f>IF(AND(F65&lt;&gt;0,188755&lt;&gt;0),IF(100*188755/(F65-0)&lt;0.005,"*",100*188755/(F65-0)),0)</f>
        <v>1.3560806879324661</v>
      </c>
    </row>
    <row r="31" spans="1:7" x14ac:dyDescent="0.2">
      <c r="A31" s="11" t="s">
        <v>136</v>
      </c>
      <c r="B31" s="17">
        <v>209630</v>
      </c>
      <c r="C31" s="17">
        <v>27453</v>
      </c>
      <c r="D31" s="17">
        <v>198714</v>
      </c>
      <c r="E31" s="17">
        <v>226167</v>
      </c>
      <c r="F31" s="17">
        <v>228270</v>
      </c>
      <c r="G31" s="18">
        <f>IF(AND(F65&lt;&gt;0,228270&lt;&gt;0),IF(100*228270/(F65-0)&lt;0.005,"*",100*228270/(F65-0)),0)</f>
        <v>1.6399700068042913</v>
      </c>
    </row>
    <row r="32" spans="1:7" x14ac:dyDescent="0.2">
      <c r="A32" s="11" t="s">
        <v>137</v>
      </c>
      <c r="B32" s="17">
        <v>29029</v>
      </c>
      <c r="C32" s="17">
        <v>3802</v>
      </c>
      <c r="D32" s="17">
        <v>27517</v>
      </c>
      <c r="E32" s="17">
        <v>31319</v>
      </c>
      <c r="F32" s="17">
        <v>31610</v>
      </c>
      <c r="G32" s="18">
        <f>IF(AND(F65&lt;&gt;0,31610&lt;&gt;0),IF(100*31610/(F65-0)&lt;0.005,"*",100*31610/(F65-0)),0)</f>
        <v>0.22709708641119575</v>
      </c>
    </row>
    <row r="33" spans="1:7" x14ac:dyDescent="0.2">
      <c r="A33" s="11" t="s">
        <v>138</v>
      </c>
      <c r="B33" s="17">
        <v>76980</v>
      </c>
      <c r="C33" s="17">
        <v>10081</v>
      </c>
      <c r="D33" s="17">
        <v>72971</v>
      </c>
      <c r="E33" s="17">
        <v>83052</v>
      </c>
      <c r="F33" s="17">
        <v>83825</v>
      </c>
      <c r="G33" s="18">
        <f>IF(AND(F65&lt;&gt;0,83825&lt;&gt;0),IF(100*83825/(F65-0)&lt;0.005,"*",100*83825/(F65-0)),0)</f>
        <v>0.6022275630629067</v>
      </c>
    </row>
    <row r="34" spans="1:7" x14ac:dyDescent="0.2">
      <c r="A34" s="11" t="s">
        <v>139</v>
      </c>
      <c r="B34" s="17">
        <v>107382</v>
      </c>
      <c r="C34" s="17">
        <v>14063</v>
      </c>
      <c r="D34" s="17">
        <v>101790</v>
      </c>
      <c r="E34" s="17">
        <v>115853</v>
      </c>
      <c r="F34" s="17">
        <v>116930</v>
      </c>
      <c r="G34" s="18">
        <f>IF(AND(F65&lt;&gt;0,116930&lt;&gt;0),IF(100*116930/(F65-0)&lt;0.005,"*",100*116930/(F65-0)),0)</f>
        <v>0.84006524245685277</v>
      </c>
    </row>
    <row r="35" spans="1:7" x14ac:dyDescent="0.2">
      <c r="A35" s="11" t="s">
        <v>140</v>
      </c>
      <c r="B35" s="17">
        <v>21759</v>
      </c>
      <c r="C35" s="17">
        <v>2850</v>
      </c>
      <c r="D35" s="17">
        <v>20626</v>
      </c>
      <c r="E35" s="17">
        <v>23476</v>
      </c>
      <c r="F35" s="17">
        <v>23694</v>
      </c>
      <c r="G35" s="18">
        <f>IF(AND(F65&lt;&gt;0,23694&lt;&gt;0),IF(100*23694/(F65-0)&lt;0.005,"*",100*23694/(F65-0)),0)</f>
        <v>0.17022582617611109</v>
      </c>
    </row>
    <row r="36" spans="1:7" x14ac:dyDescent="0.2">
      <c r="A36" s="11" t="s">
        <v>141</v>
      </c>
      <c r="B36" s="17">
        <v>268307</v>
      </c>
      <c r="C36" s="17">
        <v>35138</v>
      </c>
      <c r="D36" s="17">
        <v>254335</v>
      </c>
      <c r="E36" s="17">
        <v>289473</v>
      </c>
      <c r="F36" s="17">
        <v>292164</v>
      </c>
      <c r="G36" s="18">
        <f>IF(AND(F65&lt;&gt;0,292164&lt;&gt;0),IF(100*292164/(F65-0)&lt;0.005,"*",100*292164/(F65-0)),0)</f>
        <v>2.0990064268978359</v>
      </c>
    </row>
    <row r="37" spans="1:7" x14ac:dyDescent="0.2">
      <c r="A37" s="11" t="s">
        <v>142</v>
      </c>
      <c r="B37" s="17">
        <v>101517</v>
      </c>
      <c r="C37" s="17">
        <v>13295</v>
      </c>
      <c r="D37" s="17">
        <v>96231</v>
      </c>
      <c r="E37" s="17">
        <v>109526</v>
      </c>
      <c r="F37" s="17">
        <v>110544</v>
      </c>
      <c r="G37" s="18">
        <f>IF(AND(F65&lt;&gt;0,110544&lt;&gt;0),IF(100*110544/(F65-0)&lt;0.005,"*",100*110544/(F65-0)),0)</f>
        <v>0.7941860272141481</v>
      </c>
    </row>
    <row r="38" spans="1:7" x14ac:dyDescent="0.2">
      <c r="A38" s="11" t="s">
        <v>143</v>
      </c>
      <c r="B38" s="17">
        <v>819606</v>
      </c>
      <c r="C38" s="17">
        <v>107336</v>
      </c>
      <c r="D38" s="17">
        <v>776926</v>
      </c>
      <c r="E38" s="17">
        <v>884262</v>
      </c>
      <c r="F38" s="17">
        <v>892483</v>
      </c>
      <c r="G38" s="18">
        <f>IF(AND(F65&lt;&gt;0,892483&lt;&gt;0),IF(100*892483/(F65-0)&lt;0.005,"*",100*892483/(F65-0)),0)</f>
        <v>6.4119041117217082</v>
      </c>
    </row>
    <row r="39" spans="1:7" x14ac:dyDescent="0.2">
      <c r="A39" s="11" t="s">
        <v>144</v>
      </c>
      <c r="B39" s="17">
        <v>391380</v>
      </c>
      <c r="C39" s="17">
        <v>51255</v>
      </c>
      <c r="D39" s="17">
        <v>370999</v>
      </c>
      <c r="E39" s="17">
        <v>422254</v>
      </c>
      <c r="F39" s="17">
        <v>426181</v>
      </c>
      <c r="G39" s="18">
        <f>IF(AND(F65&lt;&gt;0,426181&lt;&gt;0),IF(100*426181/(F65-0)&lt;0.005,"*",100*426181/(F65-0)),0)</f>
        <v>3.0618305404558623</v>
      </c>
    </row>
    <row r="40" spans="1:7" x14ac:dyDescent="0.2">
      <c r="A40" s="11" t="s">
        <v>145</v>
      </c>
      <c r="B40" s="17">
        <v>22147</v>
      </c>
      <c r="C40" s="17">
        <v>2900</v>
      </c>
      <c r="D40" s="17">
        <v>20994</v>
      </c>
      <c r="E40" s="17">
        <v>23894</v>
      </c>
      <c r="F40" s="17">
        <v>24116</v>
      </c>
      <c r="G40" s="18">
        <f>IF(AND(F65&lt;&gt;0,24116&lt;&gt;0),IF(100*24116/(F65-0)&lt;0.005,"*",100*24116/(F65-0)),0)</f>
        <v>0.17325761897793093</v>
      </c>
    </row>
    <row r="41" spans="1:7" x14ac:dyDescent="0.2">
      <c r="A41" s="11" t="s">
        <v>146</v>
      </c>
      <c r="B41" s="17">
        <v>359773</v>
      </c>
      <c r="C41" s="17">
        <v>47116</v>
      </c>
      <c r="D41" s="17">
        <v>341038</v>
      </c>
      <c r="E41" s="17">
        <v>388154</v>
      </c>
      <c r="F41" s="17">
        <v>391763</v>
      </c>
      <c r="G41" s="18">
        <f>IF(AND(F65&lt;&gt;0,391763&lt;&gt;0),IF(100*391763/(F65-0)&lt;0.005,"*",100*391763/(F65-0)),0)</f>
        <v>2.81455981852924</v>
      </c>
    </row>
    <row r="42" spans="1:7" x14ac:dyDescent="0.2">
      <c r="A42" s="11" t="s">
        <v>147</v>
      </c>
      <c r="B42" s="17">
        <v>157348</v>
      </c>
      <c r="C42" s="17">
        <v>20606</v>
      </c>
      <c r="D42" s="17">
        <v>149154</v>
      </c>
      <c r="E42" s="17">
        <v>169760</v>
      </c>
      <c r="F42" s="17">
        <v>171339</v>
      </c>
      <c r="G42" s="18">
        <f>IF(AND(F65&lt;&gt;0,171339&lt;&gt;0),IF(100*171339/(F65-0)&lt;0.005,"*",100*171339/(F65-0)),0)</f>
        <v>1.230958167940774</v>
      </c>
    </row>
    <row r="43" spans="1:7" x14ac:dyDescent="0.2">
      <c r="A43" s="11" t="s">
        <v>148</v>
      </c>
      <c r="B43" s="17">
        <v>111838</v>
      </c>
      <c r="C43" s="17">
        <v>14646</v>
      </c>
      <c r="D43" s="17">
        <v>106014</v>
      </c>
      <c r="E43" s="17">
        <v>120660</v>
      </c>
      <c r="F43" s="17">
        <v>121782</v>
      </c>
      <c r="G43" s="18">
        <f>IF(AND(F65&lt;&gt;0,121782&lt;&gt;0),IF(100*121782/(F65-0)&lt;0.005,"*",100*121782/(F65-0)),0)</f>
        <v>0.87492367533464854</v>
      </c>
    </row>
    <row r="44" spans="1:7" x14ac:dyDescent="0.2">
      <c r="A44" s="11" t="s">
        <v>149</v>
      </c>
      <c r="B44" s="17">
        <v>412137</v>
      </c>
      <c r="C44" s="17">
        <v>53974</v>
      </c>
      <c r="D44" s="17">
        <v>390675</v>
      </c>
      <c r="E44" s="17">
        <v>444649</v>
      </c>
      <c r="F44" s="17">
        <v>448783</v>
      </c>
      <c r="G44" s="18">
        <f>IF(AND(F65&lt;&gt;0,448783&lt;&gt;0),IF(100*448783/(F65-0)&lt;0.005,"*",100*448783/(F65-0)),0)</f>
        <v>3.2242110639315298</v>
      </c>
    </row>
    <row r="45" spans="1:7" x14ac:dyDescent="0.2">
      <c r="A45" s="11" t="s">
        <v>150</v>
      </c>
      <c r="B45" s="17">
        <v>31906</v>
      </c>
      <c r="C45" s="17">
        <v>4178</v>
      </c>
      <c r="D45" s="17">
        <v>30245</v>
      </c>
      <c r="E45" s="17">
        <v>34423</v>
      </c>
      <c r="F45" s="17">
        <v>34743</v>
      </c>
      <c r="G45" s="18">
        <f>IF(AND(F65&lt;&gt;0,34743&lt;&gt;0),IF(100*34743/(F65-0)&lt;0.005,"*",100*34743/(F65-0)),0)</f>
        <v>0.24960563344461162</v>
      </c>
    </row>
    <row r="46" spans="1:7" x14ac:dyDescent="0.2">
      <c r="A46" s="11" t="s">
        <v>151</v>
      </c>
      <c r="B46" s="17">
        <v>219728</v>
      </c>
      <c r="C46" s="17">
        <v>28776</v>
      </c>
      <c r="D46" s="17">
        <v>208286</v>
      </c>
      <c r="E46" s="17">
        <v>237062</v>
      </c>
      <c r="F46" s="17">
        <v>239266</v>
      </c>
      <c r="G46" s="18">
        <f>IF(AND(F65&lt;&gt;0,239266&lt;&gt;0),IF(100*239266/(F65-0)&lt;0.005,"*",100*239266/(F65-0)),0)</f>
        <v>1.7189690438867813</v>
      </c>
    </row>
    <row r="47" spans="1:7" x14ac:dyDescent="0.2">
      <c r="A47" s="11" t="s">
        <v>152</v>
      </c>
      <c r="B47" s="17">
        <v>28078</v>
      </c>
      <c r="C47" s="17">
        <v>3677</v>
      </c>
      <c r="D47" s="17">
        <v>26616</v>
      </c>
      <c r="E47" s="17">
        <v>30293</v>
      </c>
      <c r="F47" s="17">
        <v>30575</v>
      </c>
      <c r="G47" s="18">
        <f>IF(AND(F65&lt;&gt;0,30575&lt;&gt;0),IF(100*30575/(F65-0)&lt;0.005,"*",100*30575/(F65-0)),0)</f>
        <v>0.21966129126929168</v>
      </c>
    </row>
    <row r="48" spans="1:7" x14ac:dyDescent="0.2">
      <c r="A48" s="11" t="s">
        <v>153</v>
      </c>
      <c r="B48" s="17">
        <v>279448</v>
      </c>
      <c r="C48" s="17">
        <v>36597</v>
      </c>
      <c r="D48" s="17">
        <v>264896</v>
      </c>
      <c r="E48" s="17">
        <v>301493</v>
      </c>
      <c r="F48" s="17">
        <v>304296</v>
      </c>
      <c r="G48" s="18">
        <f>IF(AND(F65&lt;&gt;0,304296&lt;&gt;0),IF(100*304296/(F65-0)&lt;0.005,"*",100*304296/(F65-0)),0)</f>
        <v>2.1861668777785894</v>
      </c>
    </row>
    <row r="49" spans="1:7" x14ac:dyDescent="0.2">
      <c r="A49" s="11" t="s">
        <v>154</v>
      </c>
      <c r="B49" s="17">
        <v>1576613</v>
      </c>
      <c r="C49" s="17">
        <v>206474</v>
      </c>
      <c r="D49" s="17">
        <v>1494512</v>
      </c>
      <c r="E49" s="17">
        <v>1700986</v>
      </c>
      <c r="F49" s="17">
        <v>1716801</v>
      </c>
      <c r="G49" s="18">
        <f>IF(AND(F65&lt;&gt;0,1716801&lt;&gt;0),IF(100*1716801/(F65-0)&lt;0.005,"*",100*1716801/(F65-0)),0)</f>
        <v>12.334087473831929</v>
      </c>
    </row>
    <row r="50" spans="1:7" x14ac:dyDescent="0.2">
      <c r="A50" s="11" t="s">
        <v>155</v>
      </c>
      <c r="B50" s="17">
        <v>101074</v>
      </c>
      <c r="C50" s="17">
        <v>13237</v>
      </c>
      <c r="D50" s="17">
        <v>95811</v>
      </c>
      <c r="E50" s="17">
        <v>109048</v>
      </c>
      <c r="F50" s="17">
        <v>110061</v>
      </c>
      <c r="G50" s="18">
        <f>IF(AND(F65&lt;&gt;0,110061&lt;&gt;0),IF(100*110061/(F65-0)&lt;0.005,"*",100*110061/(F65-0)),0)</f>
        <v>0.79071598948125954</v>
      </c>
    </row>
    <row r="51" spans="1:7" x14ac:dyDescent="0.2">
      <c r="A51" s="11" t="s">
        <v>156</v>
      </c>
      <c r="B51" s="17">
        <v>15330</v>
      </c>
      <c r="C51" s="17">
        <v>2008</v>
      </c>
      <c r="D51" s="17">
        <v>14532</v>
      </c>
      <c r="E51" s="17">
        <v>16540</v>
      </c>
      <c r="F51" s="17">
        <v>16693</v>
      </c>
      <c r="G51" s="18">
        <f>IF(AND(F65&lt;&gt;0,16693&lt;&gt;0),IF(100*16693/(F65-0)&lt;0.005,"*",100*16693/(F65-0)),0)</f>
        <v>0.11992823990705759</v>
      </c>
    </row>
    <row r="52" spans="1:7" x14ac:dyDescent="0.2">
      <c r="A52" s="11" t="s">
        <v>157</v>
      </c>
      <c r="B52" s="17">
        <v>262812</v>
      </c>
      <c r="C52" s="17">
        <v>34418</v>
      </c>
      <c r="D52" s="17">
        <v>249126</v>
      </c>
      <c r="E52" s="17">
        <v>283544</v>
      </c>
      <c r="F52" s="17">
        <v>286181</v>
      </c>
      <c r="G52" s="18">
        <f>IF(AND(F65&lt;&gt;0,286181&lt;&gt;0),IF(100*286181/(F65-0)&lt;0.005,"*",100*286181/(F65-0)),0)</f>
        <v>2.0560225019374379</v>
      </c>
    </row>
    <row r="53" spans="1:7" x14ac:dyDescent="0.2">
      <c r="A53" s="11" t="s">
        <v>158</v>
      </c>
      <c r="B53" s="17">
        <v>204455</v>
      </c>
      <c r="C53" s="17">
        <v>26776</v>
      </c>
      <c r="D53" s="17">
        <v>193808</v>
      </c>
      <c r="E53" s="17">
        <v>220584</v>
      </c>
      <c r="F53" s="17">
        <v>222635</v>
      </c>
      <c r="G53" s="18">
        <f>IF(AND(F65&lt;&gt;0,222635&lt;&gt;0),IF(100*222635/(F65-0)&lt;0.005,"*",100*222635/(F65-0)),0)</f>
        <v>1.5994862332539248</v>
      </c>
    </row>
    <row r="54" spans="1:7" x14ac:dyDescent="0.2">
      <c r="A54" s="11" t="s">
        <v>159</v>
      </c>
      <c r="B54" s="17">
        <v>82357</v>
      </c>
      <c r="C54" s="17">
        <v>10786</v>
      </c>
      <c r="D54" s="17">
        <v>78068</v>
      </c>
      <c r="E54" s="17">
        <v>88854</v>
      </c>
      <c r="F54" s="17">
        <v>89680</v>
      </c>
      <c r="G54" s="18">
        <f>IF(AND(F65&lt;&gt;0,89680&lt;&gt;0),IF(100*89680/(F65-0)&lt;0.005,"*",100*89680/(F65-0)),0)</f>
        <v>0.6442918921023737</v>
      </c>
    </row>
    <row r="55" spans="1:7" x14ac:dyDescent="0.2">
      <c r="A55" s="11" t="s">
        <v>160</v>
      </c>
      <c r="B55" s="17">
        <v>173572</v>
      </c>
      <c r="C55" s="17">
        <v>22731</v>
      </c>
      <c r="D55" s="17">
        <v>164533</v>
      </c>
      <c r="E55" s="17">
        <v>187264</v>
      </c>
      <c r="F55" s="17">
        <v>189006</v>
      </c>
      <c r="G55" s="18">
        <f>IF(AND(F65&lt;&gt;0,189006&lt;&gt;0),IF(100*189006/(F65-0)&lt;0.005,"*",100*189006/(F65-0)),0)</f>
        <v>1.357883958058667</v>
      </c>
    </row>
    <row r="56" spans="1:7" x14ac:dyDescent="0.2">
      <c r="A56" s="11" t="s">
        <v>161</v>
      </c>
      <c r="B56" s="17">
        <v>14533</v>
      </c>
      <c r="C56" s="17">
        <v>1903</v>
      </c>
      <c r="D56" s="17">
        <v>13776</v>
      </c>
      <c r="E56" s="17">
        <v>15679</v>
      </c>
      <c r="F56" s="17">
        <v>15825</v>
      </c>
      <c r="G56" s="18">
        <f>IF(AND(F65&lt;&gt;0,15825&lt;&gt;0),IF(100*15825/(F65-0)&lt;0.005,"*",100*15825/(F65-0)),0)</f>
        <v>0.11369223006824336</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9814</v>
      </c>
      <c r="C58" s="17">
        <v>1285</v>
      </c>
      <c r="D58" s="17">
        <v>9303</v>
      </c>
      <c r="E58" s="17">
        <v>10588</v>
      </c>
      <c r="F58" s="17">
        <v>10687</v>
      </c>
      <c r="G58" s="18">
        <f>IF(AND(F65&lt;&gt;0,10687&lt;&gt;0),IF(100*10687/(F65-0)&lt;0.005,"*",100*10687/(F65-0)),0)</f>
        <v>7.6779075054617174E-2</v>
      </c>
    </row>
    <row r="59" spans="1:7" x14ac:dyDescent="0.2">
      <c r="A59" s="11" t="s">
        <v>164</v>
      </c>
      <c r="B59" s="17">
        <v>0</v>
      </c>
      <c r="C59" s="17">
        <v>0</v>
      </c>
      <c r="D59" s="17">
        <v>0</v>
      </c>
      <c r="E59" s="17">
        <v>0</v>
      </c>
      <c r="F59" s="17">
        <v>0</v>
      </c>
      <c r="G59" s="18">
        <f>IF(AND(F65&lt;&gt;0,0&lt;&gt;0),IF(100*0/(F65-0)&lt;0.005,"*",100*0/(F65-0)),0)</f>
        <v>0</v>
      </c>
    </row>
    <row r="60" spans="1:7" x14ac:dyDescent="0.2">
      <c r="A60" s="11" t="s">
        <v>165</v>
      </c>
      <c r="B60" s="17">
        <v>101507</v>
      </c>
      <c r="C60" s="17">
        <v>13293</v>
      </c>
      <c r="D60" s="17">
        <v>96221</v>
      </c>
      <c r="E60" s="17">
        <v>109514</v>
      </c>
      <c r="F60" s="17">
        <v>110533</v>
      </c>
      <c r="G60" s="18">
        <f>IF(AND(F65&lt;&gt;0,110533&lt;&gt;0),IF(100*110533/(F65-0)&lt;0.005,"*",100*110533/(F65-0)),0)</f>
        <v>0.7941069994396931</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3177</v>
      </c>
      <c r="C62" s="17">
        <v>416</v>
      </c>
      <c r="D62" s="17">
        <v>3012</v>
      </c>
      <c r="E62" s="17">
        <v>3428</v>
      </c>
      <c r="F62" s="17">
        <v>3459</v>
      </c>
      <c r="G62" s="18">
        <f>IF(AND(F65&lt;&gt;0,3459&lt;&gt;0),IF(100*3459/(F65-0)&lt;0.005,"*",100*3459/(F65-0)),0)</f>
        <v>2.4850642894537363E-2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119383</v>
      </c>
      <c r="C64" s="17">
        <v>0</v>
      </c>
      <c r="D64" s="17">
        <v>0</v>
      </c>
      <c r="E64" s="17">
        <v>0</v>
      </c>
      <c r="F64" s="17">
        <v>0</v>
      </c>
      <c r="G64" s="18">
        <v>0</v>
      </c>
    </row>
    <row r="65" spans="1:7" ht="15" customHeight="1" x14ac:dyDescent="0.2">
      <c r="A65" s="19" t="s">
        <v>110</v>
      </c>
      <c r="B65" s="20">
        <f>215826+36489+281436+141425+1565146+130318+119283+37430+28579+870043+528392+47152+51392+462322+272045+116347+107237+242146+254076+37401+179538+203186+322723+164214+173342+209630+29029+76980+107382+21759+268307+101517+819606+391380+22147+359773+157348+111838+412137+31906+219728+28078+279448+1576613+101074+15330+262812+204455+82357+173572+14533+0+9814+0+101507+0+3177+0+119383+0</f>
        <v>12900108</v>
      </c>
      <c r="C65" s="20">
        <f>28265+4779+36857+18521+204972+17066+15621+4902+3743+113941+69198+6175+6730+60546+35627+15237+14044+31712+33274+4898+23512+26609+42264+21506+22701+27453+3802+10081+14063+2850+35138+13295+107336+51255+2900+47116+20606+14646+53974+4178+28776+3677+36597+206474+13237+2008+34418+26776+10786+22731+1903+0+1285+0+13293+0+416+0+0+0</f>
        <v>1673770</v>
      </c>
      <c r="D65" s="20">
        <f>204587+34589+266780+134060+1485642+123532+113071+35481+27091+824736+500876+44697+48716+438247+257879+110288+101653+229536+240845+35453+170189+192605+305917+155663+164315+198714+27517+72971+101790+20626+254335+96231+776926+370999+20994+341038+149154+106014+390675+30245+208286+26616+264896+1494512+95811+14532+249126+193808+78068+164533+13776+0+9303+0+96221+0+3012+0+0+0</f>
        <v>12117177</v>
      </c>
      <c r="E65" s="20">
        <f>SUM(C65:D65)</f>
        <v>13790947</v>
      </c>
      <c r="F65" s="20">
        <f>235017+39734+306461+154000+1706315+141906+129889+40758+31120+947405+575375+51345+55962+503430+296235+126692+116772+263677+276668+40727+195502+221253+351419+178815+188755+228270+31610+83825+116930+23694+292164+110544+892483+426181+24116+391763+171339+121782+448783+34743+239266+30575+304296+1716801+110061+16693+286181+222635+89680+189006+15825+0+10687+0+110533+0+3459+0+0+0</f>
        <v>13919157</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99</v>
      </c>
      <c r="B1" s="10"/>
      <c r="C1" s="10"/>
      <c r="D1" s="10"/>
      <c r="E1" s="10"/>
      <c r="F1" s="10"/>
      <c r="G1" s="12" t="s">
        <v>174</v>
      </c>
    </row>
    <row r="2" spans="1:7" x14ac:dyDescent="0.2">
      <c r="A2" s="13" t="s">
        <v>175</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99235</v>
      </c>
      <c r="C6" s="17">
        <v>20485</v>
      </c>
      <c r="D6" s="17">
        <v>72487</v>
      </c>
      <c r="E6" s="17">
        <v>92972</v>
      </c>
      <c r="F6" s="17">
        <v>93082</v>
      </c>
      <c r="G6" s="18">
        <f>IF(AND(F65&lt;&gt;0,93082&lt;&gt;0),IF(100*93082/(F65-0)&lt;0.005,"*",100*93082/(F65-0)),0)</f>
        <v>1.7040179946877814</v>
      </c>
    </row>
    <row r="7" spans="1:7" x14ac:dyDescent="0.2">
      <c r="A7" s="11" t="s">
        <v>112</v>
      </c>
      <c r="B7" s="17">
        <v>19893</v>
      </c>
      <c r="C7" s="17">
        <v>4106</v>
      </c>
      <c r="D7" s="17">
        <v>14531</v>
      </c>
      <c r="E7" s="17">
        <v>18637</v>
      </c>
      <c r="F7" s="17">
        <v>18660</v>
      </c>
      <c r="G7" s="18">
        <f>IF(AND(F65&lt;&gt;0,18660&lt;&gt;0),IF(100*18660/(F65-0)&lt;0.005,"*",100*18660/(F65-0)),0)</f>
        <v>0.34160176812782278</v>
      </c>
    </row>
    <row r="8" spans="1:7" x14ac:dyDescent="0.2">
      <c r="A8" s="11" t="s">
        <v>113</v>
      </c>
      <c r="B8" s="17">
        <v>91830</v>
      </c>
      <c r="C8" s="17">
        <v>18956</v>
      </c>
      <c r="D8" s="17">
        <v>67078</v>
      </c>
      <c r="E8" s="17">
        <v>86034</v>
      </c>
      <c r="F8" s="17">
        <v>86136</v>
      </c>
      <c r="G8" s="18">
        <f>IF(AND(F65&lt;&gt;0,86136&lt;&gt;0),IF(100*86136/(F65-0)&lt;0.005,"*",100*86136/(F65-0)),0)</f>
        <v>1.5768601232292681</v>
      </c>
    </row>
    <row r="9" spans="1:7" x14ac:dyDescent="0.2">
      <c r="A9" s="11" t="s">
        <v>114</v>
      </c>
      <c r="B9" s="17">
        <v>61406</v>
      </c>
      <c r="C9" s="17">
        <v>12676</v>
      </c>
      <c r="D9" s="17">
        <v>44854</v>
      </c>
      <c r="E9" s="17">
        <v>57530</v>
      </c>
      <c r="F9" s="17">
        <v>57599</v>
      </c>
      <c r="G9" s="18">
        <f>IF(AND(F65&lt;&gt;0,57599&lt;&gt;0),IF(100*57599/(F65-0)&lt;0.005,"*",100*57599/(F65-0)),0)</f>
        <v>1.054443742893594</v>
      </c>
    </row>
    <row r="10" spans="1:7" x14ac:dyDescent="0.2">
      <c r="A10" s="11" t="s">
        <v>115</v>
      </c>
      <c r="B10" s="17">
        <v>931995</v>
      </c>
      <c r="C10" s="17">
        <v>192388</v>
      </c>
      <c r="D10" s="17">
        <v>680779</v>
      </c>
      <c r="E10" s="17">
        <v>873167</v>
      </c>
      <c r="F10" s="17">
        <v>874207</v>
      </c>
      <c r="G10" s="18">
        <f>IF(AND(F65&lt;&gt;0,874207&lt;&gt;0),IF(100*874207/(F65-0)&lt;0.005,"*",100*874207/(F65-0)),0)</f>
        <v>16.003786543929237</v>
      </c>
    </row>
    <row r="11" spans="1:7" x14ac:dyDescent="0.2">
      <c r="A11" s="11" t="s">
        <v>116</v>
      </c>
      <c r="B11" s="17">
        <v>66036</v>
      </c>
      <c r="C11" s="17">
        <v>13632</v>
      </c>
      <c r="D11" s="17">
        <v>48236</v>
      </c>
      <c r="E11" s="17">
        <v>61868</v>
      </c>
      <c r="F11" s="17">
        <v>61941</v>
      </c>
      <c r="G11" s="18">
        <f>IF(AND(F65&lt;&gt;0,61941&lt;&gt;0),IF(100*61941/(F65-0)&lt;0.005,"*",100*61941/(F65-0)),0)</f>
        <v>1.133931142529768</v>
      </c>
    </row>
    <row r="12" spans="1:7" x14ac:dyDescent="0.2">
      <c r="A12" s="11" t="s">
        <v>117</v>
      </c>
      <c r="B12" s="17">
        <v>42582</v>
      </c>
      <c r="C12" s="17">
        <v>8790</v>
      </c>
      <c r="D12" s="17">
        <v>31104</v>
      </c>
      <c r="E12" s="17">
        <v>39894</v>
      </c>
      <c r="F12" s="17">
        <v>39942</v>
      </c>
      <c r="G12" s="18">
        <f>IF(AND(F65&lt;&gt;0,39942&lt;&gt;0),IF(100*39942/(F65-0)&lt;0.005,"*",100*39942/(F65-0)),0)</f>
        <v>0.73120352746846184</v>
      </c>
    </row>
    <row r="13" spans="1:7" x14ac:dyDescent="0.2">
      <c r="A13" s="11" t="s">
        <v>118</v>
      </c>
      <c r="B13" s="17">
        <v>13736</v>
      </c>
      <c r="C13" s="17">
        <v>2835</v>
      </c>
      <c r="D13" s="17">
        <v>10034</v>
      </c>
      <c r="E13" s="17">
        <v>12869</v>
      </c>
      <c r="F13" s="17">
        <v>12884</v>
      </c>
      <c r="G13" s="18">
        <f>IF(AND(F65&lt;&gt;0,12884&lt;&gt;0),IF(100*12884/(F65-0)&lt;0.005,"*",100*12884/(F65-0)),0)</f>
        <v>0.23586265705031451</v>
      </c>
    </row>
    <row r="14" spans="1:7" x14ac:dyDescent="0.2">
      <c r="A14" s="11" t="s">
        <v>119</v>
      </c>
      <c r="B14" s="17">
        <v>12920</v>
      </c>
      <c r="C14" s="17">
        <v>2667</v>
      </c>
      <c r="D14" s="17">
        <v>9437</v>
      </c>
      <c r="E14" s="17">
        <v>12104</v>
      </c>
      <c r="F14" s="17">
        <v>12119</v>
      </c>
      <c r="G14" s="18">
        <f>IF(AND(F65&lt;&gt;0,12119&lt;&gt;0),IF(100*12119/(F65-0)&lt;0.005,"*",100*12119/(F65-0)),0)</f>
        <v>0.22185808295504203</v>
      </c>
    </row>
    <row r="15" spans="1:7" x14ac:dyDescent="0.2">
      <c r="A15" s="11" t="s">
        <v>120</v>
      </c>
      <c r="B15" s="17">
        <v>360876</v>
      </c>
      <c r="C15" s="17">
        <v>74494</v>
      </c>
      <c r="D15" s="17">
        <v>263603</v>
      </c>
      <c r="E15" s="17">
        <v>338097</v>
      </c>
      <c r="F15" s="17">
        <v>338500</v>
      </c>
      <c r="G15" s="18">
        <f>IF(AND(F65&lt;&gt;0,338500&lt;&gt;0),IF(100*338500/(F65-0)&lt;0.005,"*",100*338500/(F65-0)),0)</f>
        <v>6.1967952042480174</v>
      </c>
    </row>
    <row r="16" spans="1:7" x14ac:dyDescent="0.2">
      <c r="A16" s="11" t="s">
        <v>121</v>
      </c>
      <c r="B16" s="17">
        <v>189657</v>
      </c>
      <c r="C16" s="17">
        <v>39150</v>
      </c>
      <c r="D16" s="17">
        <v>138536</v>
      </c>
      <c r="E16" s="17">
        <v>177686</v>
      </c>
      <c r="F16" s="17">
        <v>177897</v>
      </c>
      <c r="G16" s="18">
        <f>IF(AND(F65&lt;&gt;0,177897&lt;&gt;0),IF(100*177897/(F65-0)&lt;0.005,"*",100*177897/(F65-0)),0)</f>
        <v>3.2566950559825982</v>
      </c>
    </row>
    <row r="17" spans="1:7" x14ac:dyDescent="0.2">
      <c r="A17" s="11" t="s">
        <v>122</v>
      </c>
      <c r="B17" s="17">
        <v>28036</v>
      </c>
      <c r="C17" s="17">
        <v>5787</v>
      </c>
      <c r="D17" s="17">
        <v>20479</v>
      </c>
      <c r="E17" s="17">
        <v>26266</v>
      </c>
      <c r="F17" s="17">
        <v>26298</v>
      </c>
      <c r="G17" s="18">
        <f>IF(AND(F65&lt;&gt;0,26298&lt;&gt;0),IF(100*26298/(F65-0)&lt;0.005,"*",100*26298/(F65-0)),0)</f>
        <v>0.48142782948689622</v>
      </c>
    </row>
    <row r="18" spans="1:7" x14ac:dyDescent="0.2">
      <c r="A18" s="11" t="s">
        <v>123</v>
      </c>
      <c r="B18" s="17">
        <v>25756</v>
      </c>
      <c r="C18" s="17">
        <v>5317</v>
      </c>
      <c r="D18" s="17">
        <v>18814</v>
      </c>
      <c r="E18" s="17">
        <v>24131</v>
      </c>
      <c r="F18" s="17">
        <v>24159</v>
      </c>
      <c r="G18" s="18">
        <f>IF(AND(F65&lt;&gt;0,24159&lt;&gt;0),IF(100*24159/(F65-0)&lt;0.005,"*",100*24159/(F65-0)),0)</f>
        <v>0.44226994191854613</v>
      </c>
    </row>
    <row r="19" spans="1:7" x14ac:dyDescent="0.2">
      <c r="A19" s="11" t="s">
        <v>124</v>
      </c>
      <c r="B19" s="17">
        <v>192154</v>
      </c>
      <c r="C19" s="17">
        <v>39665</v>
      </c>
      <c r="D19" s="17">
        <v>140359</v>
      </c>
      <c r="E19" s="17">
        <v>180024</v>
      </c>
      <c r="F19" s="17">
        <v>180239</v>
      </c>
      <c r="G19" s="18">
        <f>IF(AND(F65&lt;&gt;0,180239&lt;&gt;0),IF(100*180239/(F65-0)&lt;0.005,"*",100*180239/(F65-0)),0)</f>
        <v>3.2995691900102169</v>
      </c>
    </row>
    <row r="20" spans="1:7" x14ac:dyDescent="0.2">
      <c r="A20" s="11" t="s">
        <v>125</v>
      </c>
      <c r="B20" s="17">
        <v>103207</v>
      </c>
      <c r="C20" s="17">
        <v>21305</v>
      </c>
      <c r="D20" s="17">
        <v>75388</v>
      </c>
      <c r="E20" s="17">
        <v>96693</v>
      </c>
      <c r="F20" s="17">
        <v>96808</v>
      </c>
      <c r="G20" s="18">
        <f>IF(AND(F65&lt;&gt;0,96808&lt;&gt;0),IF(100*96808/(F65-0)&lt;0.005,"*",100*96808/(F65-0)),0)</f>
        <v>1.7722285085165201</v>
      </c>
    </row>
    <row r="21" spans="1:7" x14ac:dyDescent="0.2">
      <c r="A21" s="11" t="s">
        <v>126</v>
      </c>
      <c r="B21" s="17">
        <v>40272</v>
      </c>
      <c r="C21" s="17">
        <v>8313</v>
      </c>
      <c r="D21" s="17">
        <v>29417</v>
      </c>
      <c r="E21" s="17">
        <v>37730</v>
      </c>
      <c r="F21" s="17">
        <v>37775</v>
      </c>
      <c r="G21" s="18">
        <f>IF(AND(F65&lt;&gt;0,37775&lt;&gt;0),IF(100*37775/(F65-0)&lt;0.005,"*",100*37775/(F65-0)),0)</f>
        <v>0.69153305418159194</v>
      </c>
    </row>
    <row r="22" spans="1:7" x14ac:dyDescent="0.2">
      <c r="A22" s="11" t="s">
        <v>127</v>
      </c>
      <c r="B22" s="17">
        <v>43344</v>
      </c>
      <c r="C22" s="17">
        <v>8947</v>
      </c>
      <c r="D22" s="17">
        <v>31661</v>
      </c>
      <c r="E22" s="17">
        <v>40608</v>
      </c>
      <c r="F22" s="17">
        <v>40656</v>
      </c>
      <c r="G22" s="18">
        <f>IF(AND(F65&lt;&gt;0,40656&lt;&gt;0),IF(100*40656/(F65-0)&lt;0.005,"*",100*40656/(F65-0)),0)</f>
        <v>0.74427446329071612</v>
      </c>
    </row>
    <row r="23" spans="1:7" x14ac:dyDescent="0.2">
      <c r="A23" s="11" t="s">
        <v>128</v>
      </c>
      <c r="B23" s="17">
        <v>84995</v>
      </c>
      <c r="C23" s="17">
        <v>17545</v>
      </c>
      <c r="D23" s="17">
        <v>62085</v>
      </c>
      <c r="E23" s="17">
        <v>79630</v>
      </c>
      <c r="F23" s="17">
        <v>79725</v>
      </c>
      <c r="G23" s="18">
        <f>IF(AND(F65&lt;&gt;0,79725&lt;&gt;0),IF(100*79725/(F65-0)&lt;0.005,"*",100*79725/(F65-0)),0)</f>
        <v>1.4594963003210435</v>
      </c>
    </row>
    <row r="24" spans="1:7" x14ac:dyDescent="0.2">
      <c r="A24" s="11" t="s">
        <v>129</v>
      </c>
      <c r="B24" s="17">
        <v>105635</v>
      </c>
      <c r="C24" s="17">
        <v>21806</v>
      </c>
      <c r="D24" s="17">
        <v>77161</v>
      </c>
      <c r="E24" s="17">
        <v>98967</v>
      </c>
      <c r="F24" s="17">
        <v>99085</v>
      </c>
      <c r="G24" s="18">
        <f>IF(AND(F65&lt;&gt;0,99085&lt;&gt;0),IF(100*99085/(F65-0)&lt;0.005,"*",100*99085/(F65-0)),0)</f>
        <v>1.8139127114118605</v>
      </c>
    </row>
    <row r="25" spans="1:7" x14ac:dyDescent="0.2">
      <c r="A25" s="11" t="s">
        <v>130</v>
      </c>
      <c r="B25" s="17">
        <v>15455</v>
      </c>
      <c r="C25" s="17">
        <v>3190</v>
      </c>
      <c r="D25" s="17">
        <v>11289</v>
      </c>
      <c r="E25" s="17">
        <v>14479</v>
      </c>
      <c r="F25" s="17">
        <v>14497</v>
      </c>
      <c r="G25" s="18">
        <f>IF(AND(F65&lt;&gt;0,14497&lt;&gt;0),IF(100*14497/(F65-0)&lt;0.005,"*",100*14497/(F65-0)),0)</f>
        <v>0.2653912557636145</v>
      </c>
    </row>
    <row r="26" spans="1:7" x14ac:dyDescent="0.2">
      <c r="A26" s="11" t="s">
        <v>131</v>
      </c>
      <c r="B26" s="17">
        <v>103995</v>
      </c>
      <c r="C26" s="17">
        <v>21467</v>
      </c>
      <c r="D26" s="17">
        <v>75963</v>
      </c>
      <c r="E26" s="17">
        <v>97430</v>
      </c>
      <c r="F26" s="17">
        <v>97547</v>
      </c>
      <c r="G26" s="18">
        <f>IF(AND(F65&lt;&gt;0,97547&lt;&gt;0),IF(100*97547/(F65-0)&lt;0.005,"*",100*97547/(F65-0)),0)</f>
        <v>1.7857571101588814</v>
      </c>
    </row>
    <row r="27" spans="1:7" x14ac:dyDescent="0.2">
      <c r="A27" s="11" t="s">
        <v>132</v>
      </c>
      <c r="B27" s="17">
        <v>86033</v>
      </c>
      <c r="C27" s="17">
        <v>17759</v>
      </c>
      <c r="D27" s="17">
        <v>62843</v>
      </c>
      <c r="E27" s="17">
        <v>80602</v>
      </c>
      <c r="F27" s="17">
        <v>80699</v>
      </c>
      <c r="G27" s="18">
        <f>IF(AND(F65&lt;&gt;0,80699&lt;&gt;0),IF(100*80699/(F65-0)&lt;0.005,"*",100*80699/(F65-0)),0)</f>
        <v>1.47732696067241</v>
      </c>
    </row>
    <row r="28" spans="1:7" x14ac:dyDescent="0.2">
      <c r="A28" s="11" t="s">
        <v>133</v>
      </c>
      <c r="B28" s="17">
        <v>170398</v>
      </c>
      <c r="C28" s="17">
        <v>35175</v>
      </c>
      <c r="D28" s="17">
        <v>124468</v>
      </c>
      <c r="E28" s="17">
        <v>159643</v>
      </c>
      <c r="F28" s="17">
        <v>159832</v>
      </c>
      <c r="G28" s="18">
        <f>IF(AND(F65&lt;&gt;0,159832&lt;&gt;0),IF(100*159832/(F65-0)&lt;0.005,"*",100*159832/(F65-0)),0)</f>
        <v>2.9259857343733211</v>
      </c>
    </row>
    <row r="29" spans="1:7" x14ac:dyDescent="0.2">
      <c r="A29" s="11" t="s">
        <v>134</v>
      </c>
      <c r="B29" s="17">
        <v>90751</v>
      </c>
      <c r="C29" s="17">
        <v>18733</v>
      </c>
      <c r="D29" s="17">
        <v>66289</v>
      </c>
      <c r="E29" s="17">
        <v>85022</v>
      </c>
      <c r="F29" s="17">
        <v>85124</v>
      </c>
      <c r="G29" s="18">
        <f>IF(AND(F65&lt;&gt;0,85124&lt;&gt;0),IF(100*85124/(F65-0)&lt;0.005,"*",100*85124/(F65-0)),0)</f>
        <v>1.5583338108313389</v>
      </c>
    </row>
    <row r="30" spans="1:7" x14ac:dyDescent="0.2">
      <c r="A30" s="11" t="s">
        <v>135</v>
      </c>
      <c r="B30" s="17">
        <v>77069</v>
      </c>
      <c r="C30" s="17">
        <v>15909</v>
      </c>
      <c r="D30" s="17">
        <v>56295</v>
      </c>
      <c r="E30" s="17">
        <v>72204</v>
      </c>
      <c r="F30" s="17">
        <v>72290</v>
      </c>
      <c r="G30" s="18">
        <f>IF(AND(F65&lt;&gt;0,72290&lt;&gt;0),IF(100*72290/(F65-0)&lt;0.005,"*",100*72290/(F65-0)),0)</f>
        <v>1.3233864854212383</v>
      </c>
    </row>
    <row r="31" spans="1:7" x14ac:dyDescent="0.2">
      <c r="A31" s="11" t="s">
        <v>136</v>
      </c>
      <c r="B31" s="17">
        <v>77534</v>
      </c>
      <c r="C31" s="17">
        <v>16005</v>
      </c>
      <c r="D31" s="17">
        <v>56635</v>
      </c>
      <c r="E31" s="17">
        <v>72640</v>
      </c>
      <c r="F31" s="17">
        <v>72726</v>
      </c>
      <c r="G31" s="18">
        <f>IF(AND(F65&lt;&gt;0,72726&lt;&gt;0),IF(100*72726/(F65-0)&lt;0.005,"*",100*72726/(F65-0)),0)</f>
        <v>1.3313681773239034</v>
      </c>
    </row>
    <row r="32" spans="1:7" x14ac:dyDescent="0.2">
      <c r="A32" s="11" t="s">
        <v>137</v>
      </c>
      <c r="B32" s="17">
        <v>14826</v>
      </c>
      <c r="C32" s="17">
        <v>3060</v>
      </c>
      <c r="D32" s="17">
        <v>10830</v>
      </c>
      <c r="E32" s="17">
        <v>13890</v>
      </c>
      <c r="F32" s="17">
        <v>13907</v>
      </c>
      <c r="G32" s="18">
        <f>IF(AND(F65&lt;&gt;0,13907&lt;&gt;0),IF(100*13907/(F65-0)&lt;0.005,"*",100*13907/(F65-0)),0)</f>
        <v>0.25459034240909062</v>
      </c>
    </row>
    <row r="33" spans="1:7" x14ac:dyDescent="0.2">
      <c r="A33" s="11" t="s">
        <v>138</v>
      </c>
      <c r="B33" s="17">
        <v>28091</v>
      </c>
      <c r="C33" s="17">
        <v>5799</v>
      </c>
      <c r="D33" s="17">
        <v>20519</v>
      </c>
      <c r="E33" s="17">
        <v>26318</v>
      </c>
      <c r="F33" s="17">
        <v>26349</v>
      </c>
      <c r="G33" s="18">
        <f>IF(AND(F65&lt;&gt;0,26349&lt;&gt;0),IF(100*26349/(F65-0)&lt;0.005,"*",100*26349/(F65-0)),0)</f>
        <v>0.48236146775991434</v>
      </c>
    </row>
    <row r="34" spans="1:7" x14ac:dyDescent="0.2">
      <c r="A34" s="11" t="s">
        <v>139</v>
      </c>
      <c r="B34" s="17">
        <v>49713</v>
      </c>
      <c r="C34" s="17">
        <v>10262</v>
      </c>
      <c r="D34" s="17">
        <v>36313</v>
      </c>
      <c r="E34" s="17">
        <v>46575</v>
      </c>
      <c r="F34" s="17">
        <v>46631</v>
      </c>
      <c r="G34" s="18">
        <f>IF(AND(F65&lt;&gt;0,46631&lt;&gt;0),IF(100*46631/(F65-0)&lt;0.005,"*",100*46631/(F65-0)),0)</f>
        <v>0.85365659429627561</v>
      </c>
    </row>
    <row r="35" spans="1:7" x14ac:dyDescent="0.2">
      <c r="A35" s="11" t="s">
        <v>140</v>
      </c>
      <c r="B35" s="17">
        <v>9455</v>
      </c>
      <c r="C35" s="17">
        <v>1952</v>
      </c>
      <c r="D35" s="17">
        <v>6906</v>
      </c>
      <c r="E35" s="17">
        <v>8858</v>
      </c>
      <c r="F35" s="17">
        <v>8869</v>
      </c>
      <c r="G35" s="18">
        <f>IF(AND(F65&lt;&gt;0,8869&lt;&gt;0),IF(100*8869/(F65-0)&lt;0.005,"*",100*8869/(F65-0)),0)</f>
        <v>0.16236152634113935</v>
      </c>
    </row>
    <row r="36" spans="1:7" x14ac:dyDescent="0.2">
      <c r="A36" s="11" t="s">
        <v>141</v>
      </c>
      <c r="B36" s="17">
        <v>143231</v>
      </c>
      <c r="C36" s="17">
        <v>29567</v>
      </c>
      <c r="D36" s="17">
        <v>104624</v>
      </c>
      <c r="E36" s="17">
        <v>134191</v>
      </c>
      <c r="F36" s="17">
        <v>134350</v>
      </c>
      <c r="G36" s="18">
        <f>IF(AND(F65&lt;&gt;0,134350&lt;&gt;0),IF(100*134350/(F65-0)&lt;0.005,"*",100*134350/(F65-0)),0)</f>
        <v>2.4594961172547154</v>
      </c>
    </row>
    <row r="37" spans="1:7" x14ac:dyDescent="0.2">
      <c r="A37" s="11" t="s">
        <v>142</v>
      </c>
      <c r="B37" s="17">
        <v>31284</v>
      </c>
      <c r="C37" s="17">
        <v>6458</v>
      </c>
      <c r="D37" s="17">
        <v>22851</v>
      </c>
      <c r="E37" s="17">
        <v>29309</v>
      </c>
      <c r="F37" s="17">
        <v>29344</v>
      </c>
      <c r="G37" s="18">
        <f>IF(AND(F65&lt;&gt;0,29344&lt;&gt;0),IF(100*29344/(F65-0)&lt;0.005,"*",100*29344/(F65-0)),0)</f>
        <v>0.53718983300872625</v>
      </c>
    </row>
    <row r="38" spans="1:7" x14ac:dyDescent="0.2">
      <c r="A38" s="11" t="s">
        <v>143</v>
      </c>
      <c r="B38" s="17">
        <v>434524</v>
      </c>
      <c r="C38" s="17">
        <v>89697</v>
      </c>
      <c r="D38" s="17">
        <v>317399</v>
      </c>
      <c r="E38" s="17">
        <v>407096</v>
      </c>
      <c r="F38" s="17">
        <v>407581</v>
      </c>
      <c r="G38" s="18">
        <f>IF(AND(F65&lt;&gt;0,407581&lt;&gt;0),IF(100*407581/(F65-0)&lt;0.005,"*",100*407581/(F65-0)),0)</f>
        <v>7.461435705000329</v>
      </c>
    </row>
    <row r="39" spans="1:7" x14ac:dyDescent="0.2">
      <c r="A39" s="11" t="s">
        <v>144</v>
      </c>
      <c r="B39" s="17">
        <v>181084</v>
      </c>
      <c r="C39" s="17">
        <v>37380</v>
      </c>
      <c r="D39" s="17">
        <v>132273</v>
      </c>
      <c r="E39" s="17">
        <v>169653</v>
      </c>
      <c r="F39" s="17">
        <v>169856</v>
      </c>
      <c r="G39" s="18">
        <f>IF(AND(F65&lt;&gt;0,169856&lt;&gt;0),IF(100*169856/(F65-0)&lt;0.005,"*",100*169856/(F65-0)),0)</f>
        <v>3.1094914216034009</v>
      </c>
    </row>
    <row r="40" spans="1:7" x14ac:dyDescent="0.2">
      <c r="A40" s="11" t="s">
        <v>145</v>
      </c>
      <c r="B40" s="17">
        <v>9546</v>
      </c>
      <c r="C40" s="17">
        <v>1971</v>
      </c>
      <c r="D40" s="17">
        <v>6973</v>
      </c>
      <c r="E40" s="17">
        <v>8944</v>
      </c>
      <c r="F40" s="17">
        <v>8954</v>
      </c>
      <c r="G40" s="18">
        <f>IF(AND(F65&lt;&gt;0,8954&lt;&gt;0),IF(100*8954/(F65-0)&lt;0.005,"*",100*8954/(F65-0)),0)</f>
        <v>0.16391759012950294</v>
      </c>
    </row>
    <row r="41" spans="1:7" x14ac:dyDescent="0.2">
      <c r="A41" s="11" t="s">
        <v>146</v>
      </c>
      <c r="B41" s="17">
        <v>142394</v>
      </c>
      <c r="C41" s="17">
        <v>29394</v>
      </c>
      <c r="D41" s="17">
        <v>104012</v>
      </c>
      <c r="E41" s="17">
        <v>133406</v>
      </c>
      <c r="F41" s="17">
        <v>133565</v>
      </c>
      <c r="G41" s="18">
        <f>IF(AND(F65&lt;&gt;0,133565&lt;&gt;0),IF(100*133565/(F65-0)&lt;0.005,"*",100*133565/(F65-0)),0)</f>
        <v>2.4451254105033575</v>
      </c>
    </row>
    <row r="42" spans="1:7" x14ac:dyDescent="0.2">
      <c r="A42" s="11" t="s">
        <v>147</v>
      </c>
      <c r="B42" s="17">
        <v>24935</v>
      </c>
      <c r="C42" s="17">
        <v>5147</v>
      </c>
      <c r="D42" s="17">
        <v>18214</v>
      </c>
      <c r="E42" s="17">
        <v>23361</v>
      </c>
      <c r="F42" s="17">
        <v>23389</v>
      </c>
      <c r="G42" s="18">
        <f>IF(AND(F65&lt;&gt;0,23389&lt;&gt;0),IF(100*23389/(F65-0)&lt;0.005,"*",100*23389/(F65-0)),0)</f>
        <v>0.42817383465925224</v>
      </c>
    </row>
    <row r="43" spans="1:7" x14ac:dyDescent="0.2">
      <c r="A43" s="11" t="s">
        <v>148</v>
      </c>
      <c r="B43" s="17">
        <v>65238</v>
      </c>
      <c r="C43" s="17">
        <v>13467</v>
      </c>
      <c r="D43" s="17">
        <v>47653</v>
      </c>
      <c r="E43" s="17">
        <v>61120</v>
      </c>
      <c r="F43" s="17">
        <v>61193</v>
      </c>
      <c r="G43" s="18">
        <f>IF(AND(F65&lt;&gt;0,61193&lt;&gt;0),IF(100*61193/(F65-0)&lt;0.005,"*",100*61193/(F65-0)),0)</f>
        <v>1.1202377811921682</v>
      </c>
    </row>
    <row r="44" spans="1:7" x14ac:dyDescent="0.2">
      <c r="A44" s="11" t="s">
        <v>149</v>
      </c>
      <c r="B44" s="17">
        <v>181839</v>
      </c>
      <c r="C44" s="17">
        <v>37536</v>
      </c>
      <c r="D44" s="17">
        <v>132825</v>
      </c>
      <c r="E44" s="17">
        <v>170361</v>
      </c>
      <c r="F44" s="17">
        <v>170564</v>
      </c>
      <c r="G44" s="18">
        <f>IF(AND(F65&lt;&gt;0,170564&lt;&gt;0),IF(100*170564/(F65-0)&lt;0.005,"*",100*170564/(F65-0)),0)</f>
        <v>3.1224525176288296</v>
      </c>
    </row>
    <row r="45" spans="1:7" x14ac:dyDescent="0.2">
      <c r="A45" s="11" t="s">
        <v>150</v>
      </c>
      <c r="B45" s="17">
        <v>17087</v>
      </c>
      <c r="C45" s="17">
        <v>3527</v>
      </c>
      <c r="D45" s="17">
        <v>12481</v>
      </c>
      <c r="E45" s="17">
        <v>16008</v>
      </c>
      <c r="F45" s="17">
        <v>16028</v>
      </c>
      <c r="G45" s="18">
        <f>IF(AND(F65&lt;&gt;0,16028&lt;&gt;0),IF(100*16028/(F65-0)&lt;0.005,"*",100*16028/(F65-0)),0)</f>
        <v>0.29341871058696373</v>
      </c>
    </row>
    <row r="46" spans="1:7" x14ac:dyDescent="0.2">
      <c r="A46" s="11" t="s">
        <v>151</v>
      </c>
      <c r="B46" s="17">
        <v>81977</v>
      </c>
      <c r="C46" s="17">
        <v>16922</v>
      </c>
      <c r="D46" s="17">
        <v>59880</v>
      </c>
      <c r="E46" s="17">
        <v>76802</v>
      </c>
      <c r="F46" s="17">
        <v>76894</v>
      </c>
      <c r="G46" s="18">
        <f>IF(AND(F65&lt;&gt;0,76894&lt;&gt;0),IF(100*76894/(F65-0)&lt;0.005,"*",100*76894/(F65-0)),0)</f>
        <v>1.4076702228521332</v>
      </c>
    </row>
    <row r="47" spans="1:7" x14ac:dyDescent="0.2">
      <c r="A47" s="11" t="s">
        <v>152</v>
      </c>
      <c r="B47" s="17">
        <v>14968</v>
      </c>
      <c r="C47" s="17">
        <v>3090</v>
      </c>
      <c r="D47" s="17">
        <v>10933</v>
      </c>
      <c r="E47" s="17">
        <v>14023</v>
      </c>
      <c r="F47" s="17">
        <v>14040</v>
      </c>
      <c r="G47" s="18">
        <f>IF(AND(F65&lt;&gt;0,14040&lt;&gt;0),IF(100*14040/(F65-0)&lt;0.005,"*",100*14040/(F65-0)),0)</f>
        <v>0.25702512457205956</v>
      </c>
    </row>
    <row r="48" spans="1:7" x14ac:dyDescent="0.2">
      <c r="A48" s="11" t="s">
        <v>153</v>
      </c>
      <c r="B48" s="17">
        <v>110848</v>
      </c>
      <c r="C48" s="17">
        <v>22882</v>
      </c>
      <c r="D48" s="17">
        <v>80969</v>
      </c>
      <c r="E48" s="17">
        <v>103851</v>
      </c>
      <c r="F48" s="17">
        <v>103975</v>
      </c>
      <c r="G48" s="18">
        <f>IF(AND(F65&lt;&gt;0,103975&lt;&gt;0),IF(100*103975/(F65-0)&lt;0.005,"*",100*103975/(F65-0)),0)</f>
        <v>1.9034321458247787</v>
      </c>
    </row>
    <row r="49" spans="1:7" x14ac:dyDescent="0.2">
      <c r="A49" s="11" t="s">
        <v>154</v>
      </c>
      <c r="B49" s="17">
        <v>486646</v>
      </c>
      <c r="C49" s="17">
        <v>100456</v>
      </c>
      <c r="D49" s="17">
        <v>355472</v>
      </c>
      <c r="E49" s="17">
        <v>455928</v>
      </c>
      <c r="F49" s="17">
        <v>456471</v>
      </c>
      <c r="G49" s="18">
        <f>IF(AND(F65&lt;&gt;0,456471&lt;&gt;0),IF(100*456471/(F65-0)&lt;0.005,"*",100*456471/(F65-0)),0)</f>
        <v>8.3564469828014669</v>
      </c>
    </row>
    <row r="50" spans="1:7" x14ac:dyDescent="0.2">
      <c r="A50" s="11" t="s">
        <v>155</v>
      </c>
      <c r="B50" s="17">
        <v>38899</v>
      </c>
      <c r="C50" s="17">
        <v>8030</v>
      </c>
      <c r="D50" s="17">
        <v>28414</v>
      </c>
      <c r="E50" s="17">
        <v>36444</v>
      </c>
      <c r="F50" s="17">
        <v>36487</v>
      </c>
      <c r="G50" s="18">
        <f>IF(AND(F65&lt;&gt;0,36487&lt;&gt;0),IF(100*36487/(F65-0)&lt;0.005,"*",100*36487/(F65-0)),0)</f>
        <v>0.66795411112968217</v>
      </c>
    </row>
    <row r="51" spans="1:7" x14ac:dyDescent="0.2">
      <c r="A51" s="11" t="s">
        <v>156</v>
      </c>
      <c r="B51" s="17">
        <v>12037</v>
      </c>
      <c r="C51" s="17">
        <v>2485</v>
      </c>
      <c r="D51" s="17">
        <v>8792</v>
      </c>
      <c r="E51" s="17">
        <v>11277</v>
      </c>
      <c r="F51" s="17">
        <v>11291</v>
      </c>
      <c r="G51" s="18">
        <f>IF(AND(F65&lt;&gt;0,11291&lt;&gt;0),IF(100*11291/(F65-0)&lt;0.005,"*",100*11291/(F65-0)),0)</f>
        <v>0.20670019099310005</v>
      </c>
    </row>
    <row r="52" spans="1:7" x14ac:dyDescent="0.2">
      <c r="A52" s="11" t="s">
        <v>157</v>
      </c>
      <c r="B52" s="17">
        <v>96009</v>
      </c>
      <c r="C52" s="17">
        <v>19819</v>
      </c>
      <c r="D52" s="17">
        <v>70130</v>
      </c>
      <c r="E52" s="17">
        <v>89949</v>
      </c>
      <c r="F52" s="17">
        <v>90056</v>
      </c>
      <c r="G52" s="18">
        <f>IF(AND(F65&lt;&gt;0,90056&lt;&gt;0),IF(100*90056/(F65-0)&lt;0.005,"*",100*90056/(F65-0)),0)</f>
        <v>1.6486221238220369</v>
      </c>
    </row>
    <row r="53" spans="1:7" x14ac:dyDescent="0.2">
      <c r="A53" s="11" t="s">
        <v>158</v>
      </c>
      <c r="B53" s="17">
        <v>130568</v>
      </c>
      <c r="C53" s="17">
        <v>26953</v>
      </c>
      <c r="D53" s="17">
        <v>95374</v>
      </c>
      <c r="E53" s="17">
        <v>122327</v>
      </c>
      <c r="F53" s="17">
        <v>122472</v>
      </c>
      <c r="G53" s="18">
        <f>IF(AND(F65&lt;&gt;0,122472&lt;&gt;0),IF(100*122472/(F65-0)&lt;0.005,"*",100*122472/(F65-0)),0)</f>
        <v>2.2420499328055041</v>
      </c>
    </row>
    <row r="54" spans="1:7" x14ac:dyDescent="0.2">
      <c r="A54" s="11" t="s">
        <v>159</v>
      </c>
      <c r="B54" s="17">
        <v>32796</v>
      </c>
      <c r="C54" s="17">
        <v>6770</v>
      </c>
      <c r="D54" s="17">
        <v>23956</v>
      </c>
      <c r="E54" s="17">
        <v>30726</v>
      </c>
      <c r="F54" s="17">
        <v>30762</v>
      </c>
      <c r="G54" s="18">
        <f>IF(AND(F65&lt;&gt;0,30762&lt;&gt;0),IF(100*30762/(F65-0)&lt;0.005,"*",100*30762/(F65-0)),0)</f>
        <v>0.56314863832519202</v>
      </c>
    </row>
    <row r="55" spans="1:7" x14ac:dyDescent="0.2">
      <c r="A55" s="11" t="s">
        <v>160</v>
      </c>
      <c r="B55" s="17">
        <v>74488</v>
      </c>
      <c r="C55" s="17">
        <v>15376</v>
      </c>
      <c r="D55" s="17">
        <v>54410</v>
      </c>
      <c r="E55" s="17">
        <v>69786</v>
      </c>
      <c r="F55" s="17">
        <v>69869</v>
      </c>
      <c r="G55" s="18">
        <f>IF(AND(F65&lt;&gt;0,69869&lt;&gt;0),IF(100*69869/(F65-0)&lt;0.005,"*",100*69869/(F65-0)),0)</f>
        <v>1.279066127402082</v>
      </c>
    </row>
    <row r="56" spans="1:7" x14ac:dyDescent="0.2">
      <c r="A56" s="11" t="s">
        <v>161</v>
      </c>
      <c r="B56" s="17">
        <v>6178</v>
      </c>
      <c r="C56" s="17">
        <v>1275</v>
      </c>
      <c r="D56" s="17">
        <v>4513</v>
      </c>
      <c r="E56" s="17">
        <v>5788</v>
      </c>
      <c r="F56" s="17">
        <v>5795</v>
      </c>
      <c r="G56" s="18">
        <f>IF(AND(F65&lt;&gt;0,5795&lt;&gt;0),IF(100*5795/(F65-0)&lt;0.005,"*",100*5795/(F65-0)),0)</f>
        <v>0.10608693710078955</v>
      </c>
    </row>
    <row r="57" spans="1:7" x14ac:dyDescent="0.2">
      <c r="A57" s="11" t="s">
        <v>162</v>
      </c>
      <c r="B57" s="17">
        <v>6715</v>
      </c>
      <c r="C57" s="17">
        <v>1386</v>
      </c>
      <c r="D57" s="17">
        <v>4905</v>
      </c>
      <c r="E57" s="17">
        <v>6291</v>
      </c>
      <c r="F57" s="17">
        <v>6299</v>
      </c>
      <c r="G57" s="18">
        <f>IF(AND(F65&lt;&gt;0,6299&lt;&gt;0),IF(100*6299/(F65-0)&lt;0.005,"*",100*6299/(F65-0)),0)</f>
        <v>0.11531348003414553</v>
      </c>
    </row>
    <row r="58" spans="1:7" x14ac:dyDescent="0.2">
      <c r="A58" s="11" t="s">
        <v>163</v>
      </c>
      <c r="B58" s="17">
        <v>9615</v>
      </c>
      <c r="C58" s="17">
        <v>1985</v>
      </c>
      <c r="D58" s="17">
        <v>7023</v>
      </c>
      <c r="E58" s="17">
        <v>9008</v>
      </c>
      <c r="F58" s="17">
        <v>9019</v>
      </c>
      <c r="G58" s="18">
        <f>IF(AND(F65&lt;&gt;0,9019&lt;&gt;0),IF(100*9019/(F65-0)&lt;0.005,"*",100*9019/(F65-0)),0)</f>
        <v>0.16510752126178099</v>
      </c>
    </row>
    <row r="59" spans="1:7" x14ac:dyDescent="0.2">
      <c r="A59" s="11" t="s">
        <v>164</v>
      </c>
      <c r="B59" s="17">
        <v>4320</v>
      </c>
      <c r="C59" s="17">
        <v>892</v>
      </c>
      <c r="D59" s="17">
        <v>3156</v>
      </c>
      <c r="E59" s="17">
        <v>4048</v>
      </c>
      <c r="F59" s="17">
        <v>4052</v>
      </c>
      <c r="G59" s="18">
        <f>IF(AND(F65&lt;&gt;0,4052&lt;&gt;0),IF(100*4052/(F65-0)&lt;0.005,"*",100*4052/(F65-0)),0)</f>
        <v>7.4178476122933434E-2</v>
      </c>
    </row>
    <row r="60" spans="1:7" x14ac:dyDescent="0.2">
      <c r="A60" s="11" t="s">
        <v>165</v>
      </c>
      <c r="B60" s="17">
        <v>180771</v>
      </c>
      <c r="C60" s="17">
        <v>37316</v>
      </c>
      <c r="D60" s="17">
        <v>132045</v>
      </c>
      <c r="E60" s="17">
        <v>169361</v>
      </c>
      <c r="F60" s="17">
        <v>169562</v>
      </c>
      <c r="G60" s="18">
        <f>IF(AND(F65&lt;&gt;0,169562&lt;&gt;0),IF(100*169562/(F65-0)&lt;0.005,"*",100*169562/(F65-0)),0)</f>
        <v>3.1041092715589436</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5609</v>
      </c>
      <c r="C62" s="17">
        <v>1158</v>
      </c>
      <c r="D62" s="17">
        <v>4097</v>
      </c>
      <c r="E62" s="17">
        <v>5255</v>
      </c>
      <c r="F62" s="17">
        <v>5261</v>
      </c>
      <c r="G62" s="18">
        <f>IF(AND(F65&lt;&gt;0,5261&lt;&gt;0),IF(100*5261/(F65-0)&lt;0.005,"*",100*5261/(F65-0)),0)</f>
        <v>9.6311195183305234E-2</v>
      </c>
    </row>
    <row r="63" spans="1:7" x14ac:dyDescent="0.2">
      <c r="A63" s="11" t="s">
        <v>168</v>
      </c>
      <c r="B63" s="17">
        <v>63102</v>
      </c>
      <c r="C63" s="17">
        <v>13026</v>
      </c>
      <c r="D63" s="17">
        <v>46093</v>
      </c>
      <c r="E63" s="17">
        <v>59119</v>
      </c>
      <c r="F63" s="17">
        <v>59189</v>
      </c>
      <c r="G63" s="18">
        <f>IF(AND(F65&lt;&gt;0,59189&lt;&gt;0),IF(100*59189/(F65-0)&lt;0.005,"*",100*59189/(F65-0)),0)</f>
        <v>1.0835512890523955</v>
      </c>
    </row>
    <row r="64" spans="1:7" x14ac:dyDescent="0.2">
      <c r="A64" s="11" t="s">
        <v>169</v>
      </c>
      <c r="B64" s="17">
        <v>82308</v>
      </c>
      <c r="C64" s="17">
        <v>0</v>
      </c>
      <c r="D64" s="17">
        <v>0</v>
      </c>
      <c r="E64" s="17">
        <v>0</v>
      </c>
      <c r="F64" s="17">
        <v>0</v>
      </c>
      <c r="G64" s="18">
        <v>0</v>
      </c>
    </row>
    <row r="65" spans="1:7" ht="15" customHeight="1" x14ac:dyDescent="0.2">
      <c r="A65" s="19" t="s">
        <v>110</v>
      </c>
      <c r="B65" s="20">
        <f>99235+19893+91830+61406+931995+66036+42582+13736+12920+360876+189657+28036+25756+192154+103207+40272+43344+84995+105635+15455+103995+86033+170398+90751+77069+77534+14826+28091+49713+9455+143231+31284+434524+181084+9546+142394+24935+65238+181839+17087+81977+14968+110848+486646+38899+12037+96009+130568+32796+74488+6178+6715+9615+4320+180771+0+5609+63102+82308+0</f>
        <v>5905901</v>
      </c>
      <c r="C65" s="20">
        <f>20485+4106+18956+12676+192388+13632+8790+2835+2667+74494+39150+5787+5317+39665+21305+8313+8947+17545+21806+3190+21467+17759+35175+18733+15909+16005+3060+5799+10262+1952+29567+6458+89697+37380+1971+29394+5147+13467+37536+3527+16922+3090+22882+100456+8030+2485+19819+26953+6770+15376+1275+1386+1985+892+37316+0+1158+13026+0+0</f>
        <v>1202140</v>
      </c>
      <c r="D65" s="20">
        <f>72487+14531+67078+44854+680779+48236+31104+10034+9437+263603+138536+20479+18814+140359+75388+29417+31661+62085+77161+11289+75963+62843+124468+66289+56295+56635+10830+20519+36313+6906+104624+22851+317399+132273+6973+104012+18214+47653+132825+12481+59880+10933+80969+355472+28414+8792+70130+95374+23956+54410+4513+4905+7023+3156+132045+0+4097+46093+0+0</f>
        <v>4253860</v>
      </c>
      <c r="E65" s="20">
        <f>SUM(C65:D65)</f>
        <v>5456000</v>
      </c>
      <c r="F65" s="20">
        <f>93082+18660+86136+57599+874207+61941+39942+12884+12119+338500+177897+26298+24159+180239+96808+37775+40656+79725+99085+14497+97547+80699+159832+85124+72290+72726+13907+26349+46631+8869+134350+29344+407581+169856+8954+133565+23389+61193+170564+16028+76894+14040+103975+456471+36487+11291+90056+122472+30762+69869+5795+6299+9019+4052+169562+0+5261+59189+0+0</f>
        <v>5462501</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99</v>
      </c>
      <c r="B1" s="10"/>
      <c r="C1" s="10"/>
      <c r="D1" s="10"/>
      <c r="E1" s="10"/>
      <c r="F1" s="10"/>
      <c r="G1" s="12" t="s">
        <v>100</v>
      </c>
    </row>
    <row r="2" spans="1:7" x14ac:dyDescent="0.2">
      <c r="A2" s="13" t="s">
        <v>176</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62668</v>
      </c>
      <c r="C6" s="17">
        <v>0</v>
      </c>
      <c r="D6" s="17">
        <v>67560</v>
      </c>
      <c r="E6" s="17">
        <v>67560</v>
      </c>
      <c r="F6" s="17">
        <v>72244</v>
      </c>
      <c r="G6" s="18">
        <f>IF(AND(F65&lt;&gt;0,72244&lt;&gt;0),IF(100*72244/(F65-0)&lt;0.005,"*",100*72244/(F65-0)),0)</f>
        <v>1.7613395191350996</v>
      </c>
    </row>
    <row r="7" spans="1:7" x14ac:dyDescent="0.2">
      <c r="A7" s="11" t="s">
        <v>112</v>
      </c>
      <c r="B7" s="17">
        <v>8922</v>
      </c>
      <c r="C7" s="17">
        <v>0</v>
      </c>
      <c r="D7" s="17">
        <v>9618</v>
      </c>
      <c r="E7" s="17">
        <v>9618</v>
      </c>
      <c r="F7" s="17">
        <v>10285</v>
      </c>
      <c r="G7" s="18">
        <f>IF(AND(F65&lt;&gt;0,10285&lt;&gt;0),IF(100*10285/(F65-0)&lt;0.005,"*",100*10285/(F65-0)),0)</f>
        <v>0.2507526847115954</v>
      </c>
    </row>
    <row r="8" spans="1:7" x14ac:dyDescent="0.2">
      <c r="A8" s="11" t="s">
        <v>113</v>
      </c>
      <c r="B8" s="17">
        <v>55021</v>
      </c>
      <c r="C8" s="17">
        <v>0</v>
      </c>
      <c r="D8" s="17">
        <v>59316</v>
      </c>
      <c r="E8" s="17">
        <v>59316</v>
      </c>
      <c r="F8" s="17">
        <v>63428</v>
      </c>
      <c r="G8" s="18">
        <f>IF(AND(F65&lt;&gt;0,63428&lt;&gt;0),IF(100*63428/(F65-0)&lt;0.005,"*",100*63428/(F65-0)),0)</f>
        <v>1.5464016806890688</v>
      </c>
    </row>
    <row r="9" spans="1:7" x14ac:dyDescent="0.2">
      <c r="A9" s="11" t="s">
        <v>114</v>
      </c>
      <c r="B9" s="17">
        <v>50821</v>
      </c>
      <c r="C9" s="17">
        <v>0</v>
      </c>
      <c r="D9" s="17">
        <v>54788</v>
      </c>
      <c r="E9" s="17">
        <v>54788</v>
      </c>
      <c r="F9" s="17">
        <v>58587</v>
      </c>
      <c r="G9" s="18">
        <f>IF(AND(F65&lt;&gt;0,58587&lt;&gt;0),IF(100*58587/(F65-0)&lt;0.005,"*",100*58587/(F65-0)),0)</f>
        <v>1.4283760368690559</v>
      </c>
    </row>
    <row r="10" spans="1:7" x14ac:dyDescent="0.2">
      <c r="A10" s="11" t="s">
        <v>115</v>
      </c>
      <c r="B10" s="17">
        <v>467013</v>
      </c>
      <c r="C10" s="17">
        <v>0</v>
      </c>
      <c r="D10" s="17">
        <v>503466</v>
      </c>
      <c r="E10" s="17">
        <v>503466</v>
      </c>
      <c r="F10" s="17">
        <v>538373</v>
      </c>
      <c r="G10" s="18">
        <f>IF(AND(F65&lt;&gt;0,538373&lt;&gt;0),IF(100*538373/(F65-0)&lt;0.005,"*",100*538373/(F65-0)),0)</f>
        <v>13.125763259721513</v>
      </c>
    </row>
    <row r="11" spans="1:7" x14ac:dyDescent="0.2">
      <c r="A11" s="11" t="s">
        <v>116</v>
      </c>
      <c r="B11" s="17">
        <v>26813</v>
      </c>
      <c r="C11" s="17">
        <v>0</v>
      </c>
      <c r="D11" s="17">
        <v>28906</v>
      </c>
      <c r="E11" s="17">
        <v>28906</v>
      </c>
      <c r="F11" s="17">
        <v>30910</v>
      </c>
      <c r="G11" s="18">
        <f>IF(AND(F65&lt;&gt;0,30910&lt;&gt;0),IF(100*30910/(F65-0)&lt;0.005,"*",100*30910/(F65-0)),0)</f>
        <v>0.75359897758244176</v>
      </c>
    </row>
    <row r="12" spans="1:7" x14ac:dyDescent="0.2">
      <c r="A12" s="11" t="s">
        <v>117</v>
      </c>
      <c r="B12" s="17">
        <v>19328</v>
      </c>
      <c r="C12" s="17">
        <v>0</v>
      </c>
      <c r="D12" s="17">
        <v>20837</v>
      </c>
      <c r="E12" s="17">
        <v>20837</v>
      </c>
      <c r="F12" s="17">
        <v>22281</v>
      </c>
      <c r="G12" s="18">
        <f>IF(AND(F65&lt;&gt;0,22281&lt;&gt;0),IF(100*22281/(F65-0)&lt;0.005,"*",100*22281/(F65-0)),0)</f>
        <v>0.54322027885844015</v>
      </c>
    </row>
    <row r="13" spans="1:7" x14ac:dyDescent="0.2">
      <c r="A13" s="11" t="s">
        <v>118</v>
      </c>
      <c r="B13" s="17">
        <v>18704</v>
      </c>
      <c r="C13" s="17">
        <v>0</v>
      </c>
      <c r="D13" s="17">
        <v>20164</v>
      </c>
      <c r="E13" s="17">
        <v>20164</v>
      </c>
      <c r="F13" s="17">
        <v>21562</v>
      </c>
      <c r="G13" s="18">
        <f>IF(AND(F65&lt;&gt;0,21562&lt;&gt;0),IF(100*21562/(F65-0)&lt;0.005,"*",100*21562/(F65-0)),0)</f>
        <v>0.52569075233363349</v>
      </c>
    </row>
    <row r="14" spans="1:7" x14ac:dyDescent="0.2">
      <c r="A14" s="11" t="s">
        <v>119</v>
      </c>
      <c r="B14" s="17">
        <v>10686</v>
      </c>
      <c r="C14" s="17">
        <v>0</v>
      </c>
      <c r="D14" s="17">
        <v>11520</v>
      </c>
      <c r="E14" s="17">
        <v>11520</v>
      </c>
      <c r="F14" s="17">
        <v>12319</v>
      </c>
      <c r="G14" s="18">
        <f>IF(AND(F65&lt;&gt;0,12319&lt;&gt;0),IF(100*12319/(F65-0)&lt;0.005,"*",100*12319/(F65-0)),0)</f>
        <v>0.30034247184853125</v>
      </c>
    </row>
    <row r="15" spans="1:7" x14ac:dyDescent="0.2">
      <c r="A15" s="11" t="s">
        <v>120</v>
      </c>
      <c r="B15" s="17">
        <v>286037</v>
      </c>
      <c r="C15" s="17">
        <v>0</v>
      </c>
      <c r="D15" s="17">
        <v>308364</v>
      </c>
      <c r="E15" s="17">
        <v>308364</v>
      </c>
      <c r="F15" s="17">
        <v>329744</v>
      </c>
      <c r="G15" s="18">
        <f>IF(AND(F65&lt;&gt;0,329744&lt;&gt;0),IF(100*329744/(F65-0)&lt;0.005,"*",100*329744/(F65-0)),0)</f>
        <v>8.0392992967953631</v>
      </c>
    </row>
    <row r="16" spans="1:7" x14ac:dyDescent="0.2">
      <c r="A16" s="11" t="s">
        <v>121</v>
      </c>
      <c r="B16" s="17">
        <v>126179</v>
      </c>
      <c r="C16" s="17">
        <v>0</v>
      </c>
      <c r="D16" s="17">
        <v>136028</v>
      </c>
      <c r="E16" s="17">
        <v>136028</v>
      </c>
      <c r="F16" s="17">
        <v>145459</v>
      </c>
      <c r="G16" s="18">
        <f>IF(AND(F65&lt;&gt;0,145459&lt;&gt;0),IF(100*145459/(F65-0)&lt;0.005,"*",100*145459/(F65-0)),0)</f>
        <v>3.5463524322279003</v>
      </c>
    </row>
    <row r="17" spans="1:7" x14ac:dyDescent="0.2">
      <c r="A17" s="11" t="s">
        <v>122</v>
      </c>
      <c r="B17" s="17">
        <v>6747</v>
      </c>
      <c r="C17" s="17">
        <v>0</v>
      </c>
      <c r="D17" s="17">
        <v>7274</v>
      </c>
      <c r="E17" s="17">
        <v>7274</v>
      </c>
      <c r="F17" s="17">
        <v>7778</v>
      </c>
      <c r="G17" s="18">
        <f>IF(AND(F65&lt;&gt;0,7778&lt;&gt;0),IF(100*7778/(F65-0)&lt;0.005,"*",100*7778/(F65-0)),0)</f>
        <v>0.18963095592482149</v>
      </c>
    </row>
    <row r="18" spans="1:7" x14ac:dyDescent="0.2">
      <c r="A18" s="11" t="s">
        <v>123</v>
      </c>
      <c r="B18" s="17">
        <v>8076</v>
      </c>
      <c r="C18" s="17">
        <v>0</v>
      </c>
      <c r="D18" s="17">
        <v>8706</v>
      </c>
      <c r="E18" s="17">
        <v>8706</v>
      </c>
      <c r="F18" s="17">
        <v>9310</v>
      </c>
      <c r="G18" s="18">
        <f>IF(AND(F65&lt;&gt;0,9310&lt;&gt;0),IF(100*9310/(F65-0)&lt;0.005,"*",100*9310/(F65-0)),0)</f>
        <v>0.22698176904860995</v>
      </c>
    </row>
    <row r="19" spans="1:7" x14ac:dyDescent="0.2">
      <c r="A19" s="11" t="s">
        <v>124</v>
      </c>
      <c r="B19" s="17">
        <v>145732</v>
      </c>
      <c r="C19" s="17">
        <v>0</v>
      </c>
      <c r="D19" s="17">
        <v>157107</v>
      </c>
      <c r="E19" s="17">
        <v>157107</v>
      </c>
      <c r="F19" s="17">
        <v>168000</v>
      </c>
      <c r="G19" s="18">
        <f>IF(AND(F65&lt;&gt;0,168000&lt;&gt;0),IF(100*168000/(F65-0)&lt;0.005,"*",100*168000/(F65-0)),0)</f>
        <v>4.0959116219298037</v>
      </c>
    </row>
    <row r="20" spans="1:7" x14ac:dyDescent="0.2">
      <c r="A20" s="11" t="s">
        <v>125</v>
      </c>
      <c r="B20" s="17">
        <v>57516</v>
      </c>
      <c r="C20" s="17">
        <v>0</v>
      </c>
      <c r="D20" s="17">
        <v>62005</v>
      </c>
      <c r="E20" s="17">
        <v>62005</v>
      </c>
      <c r="F20" s="17">
        <v>66305</v>
      </c>
      <c r="G20" s="18">
        <f>IF(AND(F65&lt;&gt;0,66305&lt;&gt;0),IF(100*66305/(F65-0)&lt;0.005,"*",100*66305/(F65-0)),0)</f>
        <v>1.6165441672146168</v>
      </c>
    </row>
    <row r="21" spans="1:7" x14ac:dyDescent="0.2">
      <c r="A21" s="11" t="s">
        <v>126</v>
      </c>
      <c r="B21" s="17">
        <v>27412</v>
      </c>
      <c r="C21" s="17">
        <v>0</v>
      </c>
      <c r="D21" s="17">
        <v>29552</v>
      </c>
      <c r="E21" s="17">
        <v>29552</v>
      </c>
      <c r="F21" s="17">
        <v>31601</v>
      </c>
      <c r="G21" s="18">
        <f>IF(AND(F65&lt;&gt;0,31601&lt;&gt;0),IF(100*31601/(F65-0)&lt;0.005,"*",100*31601/(F65-0)),0)</f>
        <v>0.77044585217026018</v>
      </c>
    </row>
    <row r="22" spans="1:7" x14ac:dyDescent="0.2">
      <c r="A22" s="11" t="s">
        <v>127</v>
      </c>
      <c r="B22" s="17">
        <v>31426</v>
      </c>
      <c r="C22" s="17">
        <v>0</v>
      </c>
      <c r="D22" s="17">
        <v>33879</v>
      </c>
      <c r="E22" s="17">
        <v>33879</v>
      </c>
      <c r="F22" s="17">
        <v>36228</v>
      </c>
      <c r="G22" s="18">
        <f>IF(AND(F65&lt;&gt;0,36228&lt;&gt;0),IF(100*36228/(F65-0)&lt;0.005,"*",100*36228/(F65-0)),0)</f>
        <v>0.88325408475757694</v>
      </c>
    </row>
    <row r="23" spans="1:7" x14ac:dyDescent="0.2">
      <c r="A23" s="11" t="s">
        <v>128</v>
      </c>
      <c r="B23" s="17">
        <v>46868</v>
      </c>
      <c r="C23" s="17">
        <v>0</v>
      </c>
      <c r="D23" s="17">
        <v>50526</v>
      </c>
      <c r="E23" s="17">
        <v>50526</v>
      </c>
      <c r="F23" s="17">
        <v>54030</v>
      </c>
      <c r="G23" s="18">
        <f>IF(AND(F65&lt;&gt;0,54030&lt;&gt;0),IF(100*54030/(F65-0)&lt;0.005,"*",100*54030/(F65-0)),0)</f>
        <v>1.31727443412421</v>
      </c>
    </row>
    <row r="24" spans="1:7" x14ac:dyDescent="0.2">
      <c r="A24" s="11" t="s">
        <v>129</v>
      </c>
      <c r="B24" s="17">
        <v>98522</v>
      </c>
      <c r="C24" s="17">
        <v>0</v>
      </c>
      <c r="D24" s="17">
        <v>106212</v>
      </c>
      <c r="E24" s="17">
        <v>106212</v>
      </c>
      <c r="F24" s="17">
        <v>113576</v>
      </c>
      <c r="G24" s="18">
        <f>IF(AND(F65&lt;&gt;0,113576&lt;&gt;0),IF(100*113576/(F65-0)&lt;0.005,"*",100*113576/(F65-0)),0)</f>
        <v>2.769031299835115</v>
      </c>
    </row>
    <row r="25" spans="1:7" x14ac:dyDescent="0.2">
      <c r="A25" s="11" t="s">
        <v>130</v>
      </c>
      <c r="B25" s="17">
        <v>8643</v>
      </c>
      <c r="C25" s="17">
        <v>0</v>
      </c>
      <c r="D25" s="17">
        <v>9318</v>
      </c>
      <c r="E25" s="17">
        <v>9318</v>
      </c>
      <c r="F25" s="17">
        <v>9964</v>
      </c>
      <c r="G25" s="18">
        <f>IF(AND(F65&lt;&gt;0,9964&lt;&gt;0),IF(100*9964/(F65-0)&lt;0.005,"*",100*9964/(F65-0)),0)</f>
        <v>0.24292656786255096</v>
      </c>
    </row>
    <row r="26" spans="1:7" x14ac:dyDescent="0.2">
      <c r="A26" s="11" t="s">
        <v>131</v>
      </c>
      <c r="B26" s="17">
        <v>54263</v>
      </c>
      <c r="C26" s="17">
        <v>0</v>
      </c>
      <c r="D26" s="17">
        <v>58499</v>
      </c>
      <c r="E26" s="17">
        <v>58499</v>
      </c>
      <c r="F26" s="17">
        <v>62554</v>
      </c>
      <c r="G26" s="18">
        <f>IF(AND(F65&lt;&gt;0,62554&lt;&gt;0),IF(100*62554/(F65-0)&lt;0.005,"*",100*62554/(F65-0)),0)</f>
        <v>1.5250931880845056</v>
      </c>
    </row>
    <row r="27" spans="1:7" x14ac:dyDescent="0.2">
      <c r="A27" s="11" t="s">
        <v>132</v>
      </c>
      <c r="B27" s="17">
        <v>66231</v>
      </c>
      <c r="C27" s="17">
        <v>0</v>
      </c>
      <c r="D27" s="17">
        <v>71401</v>
      </c>
      <c r="E27" s="17">
        <v>71401</v>
      </c>
      <c r="F27" s="17">
        <v>76351</v>
      </c>
      <c r="G27" s="18">
        <f>IF(AND(F65&lt;&gt;0,76351&lt;&gt;0),IF(100*76351/(F65-0)&lt;0.005,"*",100*76351/(F65-0)),0)</f>
        <v>1.8614699300354907</v>
      </c>
    </row>
    <row r="28" spans="1:7" x14ac:dyDescent="0.2">
      <c r="A28" s="11" t="s">
        <v>133</v>
      </c>
      <c r="B28" s="17">
        <v>70367</v>
      </c>
      <c r="C28" s="17">
        <v>0</v>
      </c>
      <c r="D28" s="17">
        <v>75859</v>
      </c>
      <c r="E28" s="17">
        <v>75859</v>
      </c>
      <c r="F28" s="17">
        <v>81119</v>
      </c>
      <c r="G28" s="18">
        <f>IF(AND(F65&lt;&gt;0,81119&lt;&gt;0),IF(100*81119/(F65-0)&lt;0.005,"*",100*81119/(F65-0)),0)</f>
        <v>1.9777158027340698</v>
      </c>
    </row>
    <row r="29" spans="1:7" x14ac:dyDescent="0.2">
      <c r="A29" s="11" t="s">
        <v>134</v>
      </c>
      <c r="B29" s="17">
        <v>71711</v>
      </c>
      <c r="C29" s="17">
        <v>0</v>
      </c>
      <c r="D29" s="17">
        <v>77308</v>
      </c>
      <c r="E29" s="17">
        <v>77308</v>
      </c>
      <c r="F29" s="17">
        <v>82669</v>
      </c>
      <c r="G29" s="18">
        <f>IF(AND(F65&lt;&gt;0,82669&lt;&gt;0),IF(100*82669/(F65-0)&lt;0.005,"*",100*82669/(F65-0)),0)</f>
        <v>2.0155054635316363</v>
      </c>
    </row>
    <row r="30" spans="1:7" x14ac:dyDescent="0.2">
      <c r="A30" s="11" t="s">
        <v>135</v>
      </c>
      <c r="B30" s="17">
        <v>49974</v>
      </c>
      <c r="C30" s="17">
        <v>0</v>
      </c>
      <c r="D30" s="17">
        <v>53875</v>
      </c>
      <c r="E30" s="17">
        <v>53875</v>
      </c>
      <c r="F30" s="17">
        <v>57610</v>
      </c>
      <c r="G30" s="18">
        <f>IF(AND(F65&lt;&gt;0,57610&lt;&gt;0),IF(100*57610/(F65-0)&lt;0.005,"*",100*57610/(F65-0)),0)</f>
        <v>1.4045563603534283</v>
      </c>
    </row>
    <row r="31" spans="1:7" x14ac:dyDescent="0.2">
      <c r="A31" s="11" t="s">
        <v>136</v>
      </c>
      <c r="B31" s="17">
        <v>58289</v>
      </c>
      <c r="C31" s="17">
        <v>0</v>
      </c>
      <c r="D31" s="17">
        <v>62839</v>
      </c>
      <c r="E31" s="17">
        <v>62839</v>
      </c>
      <c r="F31" s="17">
        <v>67196</v>
      </c>
      <c r="G31" s="18">
        <f>IF(AND(F65&lt;&gt;0,67196&lt;&gt;0),IF(100*67196/(F65-0)&lt;0.005,"*",100*67196/(F65-0)),0)</f>
        <v>1.6382671270666374</v>
      </c>
    </row>
    <row r="32" spans="1:7" x14ac:dyDescent="0.2">
      <c r="A32" s="11" t="s">
        <v>137</v>
      </c>
      <c r="B32" s="17">
        <v>11343</v>
      </c>
      <c r="C32" s="17">
        <v>0</v>
      </c>
      <c r="D32" s="17">
        <v>12228</v>
      </c>
      <c r="E32" s="17">
        <v>12228</v>
      </c>
      <c r="F32" s="17">
        <v>13076</v>
      </c>
      <c r="G32" s="18">
        <f>IF(AND(F65&lt;&gt;0,13076&lt;&gt;0),IF(100*13076/(F65-0)&lt;0.005,"*",100*13076/(F65-0)),0)</f>
        <v>0.31879845457353634</v>
      </c>
    </row>
    <row r="33" spans="1:7" x14ac:dyDescent="0.2">
      <c r="A33" s="11" t="s">
        <v>138</v>
      </c>
      <c r="B33" s="17">
        <v>29013</v>
      </c>
      <c r="C33" s="17">
        <v>0</v>
      </c>
      <c r="D33" s="17">
        <v>31278</v>
      </c>
      <c r="E33" s="17">
        <v>31278</v>
      </c>
      <c r="F33" s="17">
        <v>33446</v>
      </c>
      <c r="G33" s="18">
        <f>IF(AND(F65&lt;&gt;0,33446&lt;&gt;0),IF(100*33446/(F65-0)&lt;0.005,"*",100*33446/(F65-0)),0)</f>
        <v>0.81542773873252505</v>
      </c>
    </row>
    <row r="34" spans="1:7" x14ac:dyDescent="0.2">
      <c r="A34" s="11" t="s">
        <v>139</v>
      </c>
      <c r="B34" s="17">
        <v>13138</v>
      </c>
      <c r="C34" s="17">
        <v>0</v>
      </c>
      <c r="D34" s="17">
        <v>14163</v>
      </c>
      <c r="E34" s="17">
        <v>14163</v>
      </c>
      <c r="F34" s="17">
        <v>15146</v>
      </c>
      <c r="G34" s="18">
        <f>IF(AND(F65&lt;&gt;0,15146&lt;&gt;0),IF(100*15146/(F65-0)&lt;0.005,"*",100*15146/(F65-0)),0)</f>
        <v>0.36926593705802857</v>
      </c>
    </row>
    <row r="35" spans="1:7" x14ac:dyDescent="0.2">
      <c r="A35" s="11" t="s">
        <v>140</v>
      </c>
      <c r="B35" s="17">
        <v>4830</v>
      </c>
      <c r="C35" s="17">
        <v>0</v>
      </c>
      <c r="D35" s="17">
        <v>5207</v>
      </c>
      <c r="E35" s="17">
        <v>5207</v>
      </c>
      <c r="F35" s="17">
        <v>5568</v>
      </c>
      <c r="G35" s="18">
        <f>IF(AND(F65&lt;&gt;0,5568&lt;&gt;0),IF(100*5568/(F65-0)&lt;0.005,"*",100*5568/(F65-0)),0)</f>
        <v>0.13575021375538776</v>
      </c>
    </row>
    <row r="36" spans="1:7" x14ac:dyDescent="0.2">
      <c r="A36" s="11" t="s">
        <v>141</v>
      </c>
      <c r="B36" s="17">
        <v>88238</v>
      </c>
      <c r="C36" s="17">
        <v>0</v>
      </c>
      <c r="D36" s="17">
        <v>95125</v>
      </c>
      <c r="E36" s="17">
        <v>95125</v>
      </c>
      <c r="F36" s="17">
        <v>101721</v>
      </c>
      <c r="G36" s="18">
        <f>IF(AND(F65&lt;&gt;0,101721&lt;&gt;0),IF(100*101721/(F65-0)&lt;0.005,"*",100*101721/(F65-0)),0)</f>
        <v>2.4800013457995331</v>
      </c>
    </row>
    <row r="37" spans="1:7" x14ac:dyDescent="0.2">
      <c r="A37" s="11" t="s">
        <v>142</v>
      </c>
      <c r="B37" s="17">
        <v>34211</v>
      </c>
      <c r="C37" s="17">
        <v>0</v>
      </c>
      <c r="D37" s="17">
        <v>36881</v>
      </c>
      <c r="E37" s="17">
        <v>36881</v>
      </c>
      <c r="F37" s="17">
        <v>39438</v>
      </c>
      <c r="G37" s="18">
        <f>IF(AND(F65&lt;&gt;0,39438&lt;&gt;0),IF(100*39438/(F65-0)&lt;0.005,"*",100*39438/(F65-0)),0)</f>
        <v>0.96151525324802134</v>
      </c>
    </row>
    <row r="38" spans="1:7" x14ac:dyDescent="0.2">
      <c r="A38" s="11" t="s">
        <v>143</v>
      </c>
      <c r="B38" s="17">
        <v>243813</v>
      </c>
      <c r="C38" s="17">
        <v>0</v>
      </c>
      <c r="D38" s="17">
        <v>262844</v>
      </c>
      <c r="E38" s="17">
        <v>262844</v>
      </c>
      <c r="F38" s="17">
        <v>281068</v>
      </c>
      <c r="G38" s="18">
        <f>IF(AND(F65&lt;&gt;0,281068&lt;&gt;0),IF(100*281068/(F65-0)&lt;0.005,"*",100*281068/(F65-0)),0)</f>
        <v>6.8525576651938449</v>
      </c>
    </row>
    <row r="39" spans="1:7" x14ac:dyDescent="0.2">
      <c r="A39" s="11" t="s">
        <v>144</v>
      </c>
      <c r="B39" s="17">
        <v>100966</v>
      </c>
      <c r="C39" s="17">
        <v>0</v>
      </c>
      <c r="D39" s="17">
        <v>108847</v>
      </c>
      <c r="E39" s="17">
        <v>108847</v>
      </c>
      <c r="F39" s="17">
        <v>116394</v>
      </c>
      <c r="G39" s="18">
        <f>IF(AND(F65&lt;&gt;0,116394&lt;&gt;0),IF(100*116394/(F65-0)&lt;0.005,"*",100*116394/(F65-0)),0)</f>
        <v>2.8377353412077233</v>
      </c>
    </row>
    <row r="40" spans="1:7" x14ac:dyDescent="0.2">
      <c r="A40" s="11" t="s">
        <v>145</v>
      </c>
      <c r="B40" s="17">
        <v>9509</v>
      </c>
      <c r="C40" s="17">
        <v>0</v>
      </c>
      <c r="D40" s="17">
        <v>10251</v>
      </c>
      <c r="E40" s="17">
        <v>10251</v>
      </c>
      <c r="F40" s="17">
        <v>10962</v>
      </c>
      <c r="G40" s="18">
        <f>IF(AND(F65&lt;&gt;0,10962&lt;&gt;0),IF(100*10962/(F65-0)&lt;0.005,"*",100*10962/(F65-0)),0)</f>
        <v>0.26725823333091969</v>
      </c>
    </row>
    <row r="41" spans="1:7" x14ac:dyDescent="0.2">
      <c r="A41" s="11" t="s">
        <v>146</v>
      </c>
      <c r="B41" s="17">
        <v>94275</v>
      </c>
      <c r="C41" s="17">
        <v>0</v>
      </c>
      <c r="D41" s="17">
        <v>101634</v>
      </c>
      <c r="E41" s="17">
        <v>101634</v>
      </c>
      <c r="F41" s="17">
        <v>108680</v>
      </c>
      <c r="G41" s="18">
        <f>IF(AND(F65&lt;&gt;0,108680&lt;&gt;0),IF(100*108680/(F65-0)&lt;0.005,"*",100*108680/(F65-0)),0)</f>
        <v>2.6496647325674467</v>
      </c>
    </row>
    <row r="42" spans="1:7" x14ac:dyDescent="0.2">
      <c r="A42" s="11" t="s">
        <v>147</v>
      </c>
      <c r="B42" s="17">
        <v>62246</v>
      </c>
      <c r="C42" s="17">
        <v>0</v>
      </c>
      <c r="D42" s="17">
        <v>67105</v>
      </c>
      <c r="E42" s="17">
        <v>67105</v>
      </c>
      <c r="F42" s="17">
        <v>71757</v>
      </c>
      <c r="G42" s="18">
        <f>IF(AND(F65&lt;&gt;0,71757&lt;&gt;0),IF(100*71757/(F65-0)&lt;0.005,"*",100*71757/(F65-0)),0)</f>
        <v>1.7494662515167674</v>
      </c>
    </row>
    <row r="43" spans="1:7" x14ac:dyDescent="0.2">
      <c r="A43" s="11" t="s">
        <v>148</v>
      </c>
      <c r="B43" s="17">
        <v>33846</v>
      </c>
      <c r="C43" s="17">
        <v>0</v>
      </c>
      <c r="D43" s="17">
        <v>36488</v>
      </c>
      <c r="E43" s="17">
        <v>36488</v>
      </c>
      <c r="F43" s="17">
        <v>39018</v>
      </c>
      <c r="G43" s="18">
        <f>IF(AND(F65&lt;&gt;0,39018&lt;&gt;0),IF(100*39018/(F65-0)&lt;0.005,"*",100*39018/(F65-0)),0)</f>
        <v>0.9512754741931968</v>
      </c>
    </row>
    <row r="44" spans="1:7" x14ac:dyDescent="0.2">
      <c r="A44" s="11" t="s">
        <v>149</v>
      </c>
      <c r="B44" s="17">
        <v>124910</v>
      </c>
      <c r="C44" s="17">
        <v>0</v>
      </c>
      <c r="D44" s="17">
        <v>134660</v>
      </c>
      <c r="E44" s="17">
        <v>134660</v>
      </c>
      <c r="F44" s="17">
        <v>143996</v>
      </c>
      <c r="G44" s="18">
        <f>IF(AND(F65&lt;&gt;0,143996&lt;&gt;0),IF(100*143996/(F65-0)&lt;0.005,"*",100*143996/(F65-0)),0)</f>
        <v>3.5106838685202617</v>
      </c>
    </row>
    <row r="45" spans="1:7" x14ac:dyDescent="0.2">
      <c r="A45" s="11" t="s">
        <v>150</v>
      </c>
      <c r="B45" s="17">
        <v>8925</v>
      </c>
      <c r="C45" s="17">
        <v>0</v>
      </c>
      <c r="D45" s="17">
        <v>9622</v>
      </c>
      <c r="E45" s="17">
        <v>9622</v>
      </c>
      <c r="F45" s="17">
        <v>10289</v>
      </c>
      <c r="G45" s="18">
        <f>IF(AND(F65&lt;&gt;0,10289&lt;&gt;0),IF(100*10289/(F65-0)&lt;0.005,"*",100*10289/(F65-0)),0)</f>
        <v>0.25085020641687944</v>
      </c>
    </row>
    <row r="46" spans="1:7" x14ac:dyDescent="0.2">
      <c r="A46" s="11" t="s">
        <v>151</v>
      </c>
      <c r="B46" s="17">
        <v>35173</v>
      </c>
      <c r="C46" s="17">
        <v>0</v>
      </c>
      <c r="D46" s="17">
        <v>37918</v>
      </c>
      <c r="E46" s="17">
        <v>37918</v>
      </c>
      <c r="F46" s="17">
        <v>40547</v>
      </c>
      <c r="G46" s="18">
        <f>IF(AND(F65&lt;&gt;0,40547&lt;&gt;0),IF(100*40547/(F65-0)&lt;0.005,"*",100*40547/(F65-0)),0)</f>
        <v>0.98855314603802225</v>
      </c>
    </row>
    <row r="47" spans="1:7" x14ac:dyDescent="0.2">
      <c r="A47" s="11" t="s">
        <v>152</v>
      </c>
      <c r="B47" s="17">
        <v>8154</v>
      </c>
      <c r="C47" s="17">
        <v>0</v>
      </c>
      <c r="D47" s="17">
        <v>8790</v>
      </c>
      <c r="E47" s="17">
        <v>8790</v>
      </c>
      <c r="F47" s="17">
        <v>9400</v>
      </c>
      <c r="G47" s="18">
        <f>IF(AND(F65&lt;&gt;0,9400&lt;&gt;0),IF(100*9400/(F65-0)&lt;0.005,"*",100*9400/(F65-0)),0)</f>
        <v>0.22917600741750091</v>
      </c>
    </row>
    <row r="48" spans="1:7" x14ac:dyDescent="0.2">
      <c r="A48" s="11" t="s">
        <v>153</v>
      </c>
      <c r="B48" s="17">
        <v>67830</v>
      </c>
      <c r="C48" s="17">
        <v>0</v>
      </c>
      <c r="D48" s="17">
        <v>73124</v>
      </c>
      <c r="E48" s="17">
        <v>73124</v>
      </c>
      <c r="F48" s="17">
        <v>78195</v>
      </c>
      <c r="G48" s="18">
        <f>IF(AND(F65&lt;&gt;0,78195&lt;&gt;0),IF(100*78195/(F65-0)&lt;0.005,"*",100*78195/(F65-0)),0)</f>
        <v>1.9064274361714344</v>
      </c>
    </row>
    <row r="49" spans="1:7" x14ac:dyDescent="0.2">
      <c r="A49" s="11" t="s">
        <v>154</v>
      </c>
      <c r="B49" s="17">
        <v>437394</v>
      </c>
      <c r="C49" s="17">
        <v>0</v>
      </c>
      <c r="D49" s="17">
        <v>471535</v>
      </c>
      <c r="E49" s="17">
        <v>471535</v>
      </c>
      <c r="F49" s="17">
        <v>504229</v>
      </c>
      <c r="G49" s="18">
        <f>IF(AND(F65&lt;&gt;0,504229&lt;&gt;0),IF(100*504229/(F65-0)&lt;0.005,"*",100*504229/(F65-0)),0)</f>
        <v>12.293317983416921</v>
      </c>
    </row>
    <row r="50" spans="1:7" x14ac:dyDescent="0.2">
      <c r="A50" s="11" t="s">
        <v>155</v>
      </c>
      <c r="B50" s="17">
        <v>27866</v>
      </c>
      <c r="C50" s="17">
        <v>0</v>
      </c>
      <c r="D50" s="17">
        <v>30041</v>
      </c>
      <c r="E50" s="17">
        <v>30041</v>
      </c>
      <c r="F50" s="17">
        <v>32124</v>
      </c>
      <c r="G50" s="18">
        <f>IF(AND(F65&lt;&gt;0,32124&lt;&gt;0),IF(100*32124/(F65-0)&lt;0.005,"*",100*32124/(F65-0)),0)</f>
        <v>0.78319681513614881</v>
      </c>
    </row>
    <row r="51" spans="1:7" x14ac:dyDescent="0.2">
      <c r="A51" s="11" t="s">
        <v>156</v>
      </c>
      <c r="B51" s="17">
        <v>6223</v>
      </c>
      <c r="C51" s="17">
        <v>0</v>
      </c>
      <c r="D51" s="17">
        <v>6709</v>
      </c>
      <c r="E51" s="17">
        <v>6709</v>
      </c>
      <c r="F51" s="17">
        <v>7174</v>
      </c>
      <c r="G51" s="18">
        <f>IF(AND(F65&lt;&gt;0,7174&lt;&gt;0),IF(100*7174/(F65-0)&lt;0.005,"*",100*7174/(F65-0)),0)</f>
        <v>0.17490517842693101</v>
      </c>
    </row>
    <row r="52" spans="1:7" x14ac:dyDescent="0.2">
      <c r="A52" s="11" t="s">
        <v>157</v>
      </c>
      <c r="B52" s="17">
        <v>50733</v>
      </c>
      <c r="C52" s="17">
        <v>0</v>
      </c>
      <c r="D52" s="17">
        <v>54693</v>
      </c>
      <c r="E52" s="17">
        <v>54693</v>
      </c>
      <c r="F52" s="17">
        <v>58485</v>
      </c>
      <c r="G52" s="18">
        <f>IF(AND(F65&lt;&gt;0,58485&lt;&gt;0),IF(100*58485/(F65-0)&lt;0.005,"*",100*58485/(F65-0)),0)</f>
        <v>1.4258892333843127</v>
      </c>
    </row>
    <row r="53" spans="1:7" x14ac:dyDescent="0.2">
      <c r="A53" s="11" t="s">
        <v>158</v>
      </c>
      <c r="B53" s="17">
        <v>46979</v>
      </c>
      <c r="C53" s="17">
        <v>0</v>
      </c>
      <c r="D53" s="17">
        <v>50646</v>
      </c>
      <c r="E53" s="17">
        <v>50646</v>
      </c>
      <c r="F53" s="17">
        <v>54157</v>
      </c>
      <c r="G53" s="18">
        <f>IF(AND(F65&lt;&gt;0,54157&lt;&gt;0),IF(100*54157/(F65-0)&lt;0.005,"*",100*54157/(F65-0)),0)</f>
        <v>1.3203707482669784</v>
      </c>
    </row>
    <row r="54" spans="1:7" x14ac:dyDescent="0.2">
      <c r="A54" s="11" t="s">
        <v>159</v>
      </c>
      <c r="B54" s="17">
        <v>17174</v>
      </c>
      <c r="C54" s="17">
        <v>0</v>
      </c>
      <c r="D54" s="17">
        <v>18515</v>
      </c>
      <c r="E54" s="17">
        <v>18515</v>
      </c>
      <c r="F54" s="17">
        <v>19798</v>
      </c>
      <c r="G54" s="18">
        <f>IF(AND(F65&lt;&gt;0,19798&lt;&gt;0),IF(100*19798/(F65-0)&lt;0.005,"*",100*19798/(F65-0)),0)</f>
        <v>0.4826836803033705</v>
      </c>
    </row>
    <row r="55" spans="1:7" x14ac:dyDescent="0.2">
      <c r="A55" s="11" t="s">
        <v>160</v>
      </c>
      <c r="B55" s="17">
        <v>38244</v>
      </c>
      <c r="C55" s="17">
        <v>0</v>
      </c>
      <c r="D55" s="17">
        <v>41229</v>
      </c>
      <c r="E55" s="17">
        <v>41229</v>
      </c>
      <c r="F55" s="17">
        <v>44088</v>
      </c>
      <c r="G55" s="18">
        <f>IF(AND(F65&lt;&gt;0,44088&lt;&gt;0),IF(100*44088/(F65-0)&lt;0.005,"*",100*44088/(F65-0)),0)</f>
        <v>1.0748842356407213</v>
      </c>
    </row>
    <row r="56" spans="1:7" x14ac:dyDescent="0.2">
      <c r="A56" s="11" t="s">
        <v>161</v>
      </c>
      <c r="B56" s="17">
        <v>4738</v>
      </c>
      <c r="C56" s="17">
        <v>0</v>
      </c>
      <c r="D56" s="17">
        <v>5108</v>
      </c>
      <c r="E56" s="17">
        <v>5108</v>
      </c>
      <c r="F56" s="17">
        <v>5462</v>
      </c>
      <c r="G56" s="18">
        <f>IF(AND(F65&lt;&gt;0,5462&lt;&gt;0),IF(100*5462/(F65-0)&lt;0.005,"*",100*5462/(F65-0)),0)</f>
        <v>0.13316588856536063</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418</v>
      </c>
      <c r="C58" s="17">
        <v>0</v>
      </c>
      <c r="D58" s="17">
        <v>451</v>
      </c>
      <c r="E58" s="17">
        <v>451</v>
      </c>
      <c r="F58" s="17">
        <v>482</v>
      </c>
      <c r="G58" s="18">
        <f>IF(AND(F65&lt;&gt;0,482&lt;&gt;0),IF(100*482/(F65-0)&lt;0.005,"*",100*482/(F65-0)),0)</f>
        <v>1.1751365486727174E-2</v>
      </c>
    </row>
    <row r="59" spans="1:7" x14ac:dyDescent="0.2">
      <c r="A59" s="11" t="s">
        <v>164</v>
      </c>
      <c r="B59" s="17">
        <v>0</v>
      </c>
      <c r="C59" s="17">
        <v>0</v>
      </c>
      <c r="D59" s="17">
        <v>0</v>
      </c>
      <c r="E59" s="17">
        <v>0</v>
      </c>
      <c r="F59" s="17">
        <v>0</v>
      </c>
      <c r="G59" s="18">
        <f>IF(AND(F65&lt;&gt;0,0&lt;&gt;0),IF(100*0/(F65-0)&lt;0.005,"*",100*0/(F65-0)),0)</f>
        <v>0</v>
      </c>
    </row>
    <row r="60" spans="1:7" x14ac:dyDescent="0.2">
      <c r="A60" s="11" t="s">
        <v>165</v>
      </c>
      <c r="B60" s="17">
        <v>22999</v>
      </c>
      <c r="C60" s="17">
        <v>0</v>
      </c>
      <c r="D60" s="17">
        <v>24794</v>
      </c>
      <c r="E60" s="17">
        <v>24794</v>
      </c>
      <c r="F60" s="17">
        <v>26513</v>
      </c>
      <c r="G60" s="18">
        <f>IF(AND(F65&lt;&gt;0,26513&lt;&gt;0),IF(100*26513/(F65-0)&lt;0.005,"*",100*26513/(F65-0)),0)</f>
        <v>0.64639824304895765</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828</v>
      </c>
      <c r="C62" s="17">
        <v>0</v>
      </c>
      <c r="D62" s="17">
        <v>893</v>
      </c>
      <c r="E62" s="17">
        <v>893</v>
      </c>
      <c r="F62" s="17">
        <v>955</v>
      </c>
      <c r="G62" s="18">
        <f>IF(AND(F65&lt;&gt;0,955&lt;&gt;0),IF(100*955/(F65-0)&lt;0.005,"*",100*955/(F65-0)),0)</f>
        <v>2.3283307136565252E-2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193499</v>
      </c>
      <c r="C64" s="17">
        <v>0</v>
      </c>
      <c r="D64" s="17">
        <v>0</v>
      </c>
      <c r="E64" s="17">
        <v>0</v>
      </c>
      <c r="F64" s="17">
        <v>0</v>
      </c>
      <c r="G64" s="18">
        <v>0</v>
      </c>
    </row>
    <row r="65" spans="1:7" ht="15" customHeight="1" x14ac:dyDescent="0.2">
      <c r="A65" s="19" t="s">
        <v>110</v>
      </c>
      <c r="B65" s="20">
        <f>62668+8922+55021+50821+467013+26813+19328+18704+10686+286037+126179+6747+8076+145732+57516+27412+31426+46868+98522+8643+54263+66231+70367+71711+49974+58289+11343+29013+13138+4830+88238+34211+243813+100966+9509+94275+62246+33846+124910+8925+35173+8154+67830+437394+27866+6223+50733+46979+17174+38244+4738+0+418+0+22999+0+828+0+193499+0</f>
        <v>3751484</v>
      </c>
      <c r="C65" s="20">
        <f>0+0+0+0+0+0+0+0+0+0+0+0+0+0+0+0+0+0+0+0+0+0+0+0+0+0+0+0+0+0+0+0+0+0+0+0+0+0+0+0+0+0+0+0+0+0+0+0+0+0+0+0+0+0+0+0+0+0+0+0</f>
        <v>0</v>
      </c>
      <c r="D65" s="20">
        <f>67560+9618+59316+54788+503466+28906+20837+20164+11520+308364+136028+7274+8706+157107+62005+29552+33879+50526+106212+9318+58499+71401+75859+77308+53875+62839+12228+31278+14163+5207+95125+36881+262844+108847+10251+101634+67105+36488+134660+9622+37918+8790+73124+471535+30041+6709+54693+50646+18515+41229+5108+0+451+0+24794+0+893+0+0+0</f>
        <v>3835706</v>
      </c>
      <c r="E65" s="20">
        <f>SUM(C65:D65)</f>
        <v>3835706</v>
      </c>
      <c r="F65" s="20">
        <f>72244+10285+63428+58587+538373+30910+22281+21562+12319+329744+145459+7778+9310+168000+66305+31601+36228+54030+113576+9964+62554+76351+81119+82669+57610+67196+13076+33446+15146+5568+101721+39438+281068+116394+10962+108680+71757+39018+143996+10289+40547+9400+78195+504229+32124+7174+58485+54157+19798+44088+5462+0+482+0+26513+0+955+0+0+0</f>
        <v>4101651</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2" t="s">
        <v>99</v>
      </c>
      <c r="B1" s="10"/>
      <c r="C1" s="10"/>
      <c r="D1" s="10"/>
      <c r="E1" s="10"/>
      <c r="F1" s="10"/>
      <c r="G1" s="12" t="s">
        <v>177</v>
      </c>
    </row>
    <row r="2" spans="1:7" x14ac:dyDescent="0.2">
      <c r="A2" s="13" t="s">
        <v>178</v>
      </c>
      <c r="B2" s="14"/>
      <c r="C2" s="14"/>
      <c r="D2" s="14"/>
      <c r="E2" s="14"/>
      <c r="F2" s="14"/>
      <c r="G2" s="14"/>
    </row>
    <row r="3" spans="1:7" x14ac:dyDescent="0.2">
      <c r="A3" s="14" t="s">
        <v>102</v>
      </c>
      <c r="B3" s="14"/>
      <c r="C3" s="14"/>
      <c r="D3" s="14"/>
      <c r="E3" s="14"/>
      <c r="F3" s="14"/>
      <c r="G3" s="14"/>
    </row>
    <row r="4" spans="1:7" x14ac:dyDescent="0.2">
      <c r="A4" s="68" t="s">
        <v>103</v>
      </c>
      <c r="B4" s="70" t="s">
        <v>104</v>
      </c>
      <c r="C4" s="16" t="s">
        <v>105</v>
      </c>
      <c r="D4" s="16"/>
      <c r="E4" s="16"/>
      <c r="F4" s="70" t="s">
        <v>106</v>
      </c>
      <c r="G4" s="72" t="s">
        <v>107</v>
      </c>
    </row>
    <row r="5" spans="1:7" ht="25.5" customHeight="1" x14ac:dyDescent="0.2">
      <c r="A5" s="69"/>
      <c r="B5" s="71"/>
      <c r="C5" s="15" t="s">
        <v>108</v>
      </c>
      <c r="D5" s="15" t="s">
        <v>109</v>
      </c>
      <c r="E5" s="15" t="s">
        <v>110</v>
      </c>
      <c r="F5" s="71"/>
      <c r="G5" s="73"/>
    </row>
    <row r="6" spans="1:7" x14ac:dyDescent="0.2">
      <c r="A6" s="11" t="s">
        <v>111</v>
      </c>
      <c r="B6" s="17">
        <v>66350</v>
      </c>
      <c r="C6" s="17">
        <v>66</v>
      </c>
      <c r="D6" s="17">
        <v>92081</v>
      </c>
      <c r="E6" s="17">
        <v>92147</v>
      </c>
      <c r="F6" s="17">
        <v>91012</v>
      </c>
      <c r="G6" s="18">
        <f>IF(AND(F65&lt;&gt;0,91012&lt;&gt;0),IF(100*91012/(F65-0)&lt;0.005,"*",100*91012/(F65-0)),0)</f>
        <v>1.5305896786269562</v>
      </c>
    </row>
    <row r="7" spans="1:7" x14ac:dyDescent="0.2">
      <c r="A7" s="11" t="s">
        <v>112</v>
      </c>
      <c r="B7" s="17">
        <v>14129</v>
      </c>
      <c r="C7" s="17">
        <v>14</v>
      </c>
      <c r="D7" s="17">
        <v>19608</v>
      </c>
      <c r="E7" s="17">
        <v>19622</v>
      </c>
      <c r="F7" s="17">
        <v>19381</v>
      </c>
      <c r="G7" s="18">
        <f>IF(AND(F65&lt;&gt;0,19381&lt;&gt;0),IF(100*19381/(F65-0)&lt;0.005,"*",100*19381/(F65-0)),0)</f>
        <v>0.32593898124938508</v>
      </c>
    </row>
    <row r="8" spans="1:7" x14ac:dyDescent="0.2">
      <c r="A8" s="11" t="s">
        <v>113</v>
      </c>
      <c r="B8" s="17">
        <v>70291</v>
      </c>
      <c r="C8" s="17">
        <v>70</v>
      </c>
      <c r="D8" s="17">
        <v>97551</v>
      </c>
      <c r="E8" s="17">
        <v>97621</v>
      </c>
      <c r="F8" s="17">
        <v>96418</v>
      </c>
      <c r="G8" s="18">
        <f>IF(AND(F65&lt;&gt;0,96418&lt;&gt;0),IF(100*96418/(F65-0)&lt;0.005,"*",100*96418/(F65-0)),0)</f>
        <v>1.6215048085291375</v>
      </c>
    </row>
    <row r="9" spans="1:7" x14ac:dyDescent="0.2">
      <c r="A9" s="11" t="s">
        <v>114</v>
      </c>
      <c r="B9" s="17">
        <v>32728</v>
      </c>
      <c r="C9" s="17">
        <v>32</v>
      </c>
      <c r="D9" s="17">
        <v>45420</v>
      </c>
      <c r="E9" s="17">
        <v>45452</v>
      </c>
      <c r="F9" s="17">
        <v>44893</v>
      </c>
      <c r="G9" s="18">
        <f>IF(AND(F65&lt;&gt;0,44893&lt;&gt;0),IF(100*44893/(F65-0)&lt;0.005,"*",100*44893/(F65-0)),0)</f>
        <v>0.75498574300751486</v>
      </c>
    </row>
    <row r="10" spans="1:7" x14ac:dyDescent="0.2">
      <c r="A10" s="11" t="s">
        <v>115</v>
      </c>
      <c r="B10" s="17">
        <v>1020499</v>
      </c>
      <c r="C10" s="17">
        <v>1013</v>
      </c>
      <c r="D10" s="17">
        <v>1416260</v>
      </c>
      <c r="E10" s="17">
        <v>1417273</v>
      </c>
      <c r="F10" s="17">
        <v>1399819</v>
      </c>
      <c r="G10" s="18">
        <f>IF(AND(F65&lt;&gt;0,1399819&lt;&gt;0),IF(100*1399819/(F65-0)&lt;0.005,"*",100*1399819/(F65-0)),0)</f>
        <v>23.54138479921227</v>
      </c>
    </row>
    <row r="11" spans="1:7" x14ac:dyDescent="0.2">
      <c r="A11" s="11" t="s">
        <v>116</v>
      </c>
      <c r="B11" s="17">
        <v>56498</v>
      </c>
      <c r="C11" s="17">
        <v>56</v>
      </c>
      <c r="D11" s="17">
        <v>78409</v>
      </c>
      <c r="E11" s="17">
        <v>78465</v>
      </c>
      <c r="F11" s="17">
        <v>77498</v>
      </c>
      <c r="G11" s="18">
        <f>IF(AND(F65&lt;&gt;0,77498&lt;&gt;0),IF(100*77498/(F65-0)&lt;0.005,"*",100*77498/(F65-0)),0)</f>
        <v>1.3033186713206155</v>
      </c>
    </row>
    <row r="12" spans="1:7" x14ac:dyDescent="0.2">
      <c r="A12" s="11" t="s">
        <v>117</v>
      </c>
      <c r="B12" s="17">
        <v>62413</v>
      </c>
      <c r="C12" s="17">
        <v>62</v>
      </c>
      <c r="D12" s="17">
        <v>86617</v>
      </c>
      <c r="E12" s="17">
        <v>86679</v>
      </c>
      <c r="F12" s="17">
        <v>85612</v>
      </c>
      <c r="G12" s="18">
        <f>IF(AND(F65&lt;&gt;0,85612&lt;&gt;0),IF(100*85612/(F65-0)&lt;0.005,"*",100*85612/(F65-0)),0)</f>
        <v>1.4397754534194498</v>
      </c>
    </row>
    <row r="13" spans="1:7" x14ac:dyDescent="0.2">
      <c r="A13" s="11" t="s">
        <v>118</v>
      </c>
      <c r="B13" s="17">
        <v>13425</v>
      </c>
      <c r="C13" s="17">
        <v>13</v>
      </c>
      <c r="D13" s="17">
        <v>18631</v>
      </c>
      <c r="E13" s="17">
        <v>18644</v>
      </c>
      <c r="F13" s="17">
        <v>18415</v>
      </c>
      <c r="G13" s="18">
        <f>IF(AND(F65&lt;&gt;0,18415&lt;&gt;0),IF(100*18415/(F65-0)&lt;0.005,"*",100*18415/(F65-0)),0)</f>
        <v>0.30969332540670896</v>
      </c>
    </row>
    <row r="14" spans="1:7" x14ac:dyDescent="0.2">
      <c r="A14" s="11" t="s">
        <v>119</v>
      </c>
      <c r="B14" s="17">
        <v>21560</v>
      </c>
      <c r="C14" s="17">
        <v>21</v>
      </c>
      <c r="D14" s="17">
        <v>29921</v>
      </c>
      <c r="E14" s="17">
        <v>29942</v>
      </c>
      <c r="F14" s="17">
        <v>29574</v>
      </c>
      <c r="G14" s="18">
        <f>IF(AND(F65&lt;&gt;0,29574&lt;&gt;0),IF(100*29574/(F65-0)&lt;0.005,"*",100*29574/(F65-0)),0)</f>
        <v>0.4973592400531095</v>
      </c>
    </row>
    <row r="15" spans="1:7" x14ac:dyDescent="0.2">
      <c r="A15" s="11" t="s">
        <v>120</v>
      </c>
      <c r="B15" s="17">
        <v>86076</v>
      </c>
      <c r="C15" s="17">
        <v>85</v>
      </c>
      <c r="D15" s="17">
        <v>119457</v>
      </c>
      <c r="E15" s="17">
        <v>119542</v>
      </c>
      <c r="F15" s="17">
        <v>118070</v>
      </c>
      <c r="G15" s="18">
        <f>IF(AND(F65&lt;&gt;0,118070&lt;&gt;0),IF(100*118070/(F65-0)&lt;0.005,"*",100*118070/(F65-0)),0)</f>
        <v>1.9856362167130128</v>
      </c>
    </row>
    <row r="16" spans="1:7" x14ac:dyDescent="0.2">
      <c r="A16" s="11" t="s">
        <v>121</v>
      </c>
      <c r="B16" s="17">
        <v>91968</v>
      </c>
      <c r="C16" s="17">
        <v>91</v>
      </c>
      <c r="D16" s="17">
        <v>127634</v>
      </c>
      <c r="E16" s="17">
        <v>127725</v>
      </c>
      <c r="F16" s="17">
        <v>126153</v>
      </c>
      <c r="G16" s="18">
        <f>IF(AND(F65&lt;&gt;0,126153&lt;&gt;0),IF(100*126153/(F65-0)&lt;0.005,"*",100*126153/(F65-0)),0)</f>
        <v>2.1215716578893598</v>
      </c>
    </row>
    <row r="17" spans="1:7" x14ac:dyDescent="0.2">
      <c r="A17" s="11" t="s">
        <v>122</v>
      </c>
      <c r="B17" s="17">
        <v>24925</v>
      </c>
      <c r="C17" s="17">
        <v>25</v>
      </c>
      <c r="D17" s="17">
        <v>34591</v>
      </c>
      <c r="E17" s="17">
        <v>34616</v>
      </c>
      <c r="F17" s="17">
        <v>34190</v>
      </c>
      <c r="G17" s="18">
        <f>IF(AND(F65&lt;&gt;0,34190&lt;&gt;0),IF(100*34190/(F65-0)&lt;0.005,"*",100*34190/(F65-0)),0)</f>
        <v>0.57498858515641493</v>
      </c>
    </row>
    <row r="18" spans="1:7" x14ac:dyDescent="0.2">
      <c r="A18" s="11" t="s">
        <v>123</v>
      </c>
      <c r="B18" s="17">
        <v>11171</v>
      </c>
      <c r="C18" s="17">
        <v>11</v>
      </c>
      <c r="D18" s="17">
        <v>15503</v>
      </c>
      <c r="E18" s="17">
        <v>15514</v>
      </c>
      <c r="F18" s="17">
        <v>15323</v>
      </c>
      <c r="G18" s="18">
        <f>IF(AND(F65&lt;&gt;0,15323&lt;&gt;0),IF(100*15323/(F65-0)&lt;0.005,"*",100*15323/(F65-0)),0)</f>
        <v>0.25769377275085537</v>
      </c>
    </row>
    <row r="19" spans="1:7" x14ac:dyDescent="0.2">
      <c r="A19" s="11" t="s">
        <v>124</v>
      </c>
      <c r="B19" s="17">
        <v>121836</v>
      </c>
      <c r="C19" s="17">
        <v>121</v>
      </c>
      <c r="D19" s="17">
        <v>169085</v>
      </c>
      <c r="E19" s="17">
        <v>169206</v>
      </c>
      <c r="F19" s="17">
        <v>167123</v>
      </c>
      <c r="G19" s="18">
        <f>IF(AND(F65&lt;&gt;0,167123&lt;&gt;0),IF(100*167123/(F65-0)&lt;0.005,"*",100*167123/(F65-0)),0)</f>
        <v>2.8105825480285325</v>
      </c>
    </row>
    <row r="20" spans="1:7" x14ac:dyDescent="0.2">
      <c r="A20" s="11" t="s">
        <v>125</v>
      </c>
      <c r="B20" s="17">
        <v>61335</v>
      </c>
      <c r="C20" s="17">
        <v>61</v>
      </c>
      <c r="D20" s="17">
        <v>85121</v>
      </c>
      <c r="E20" s="17">
        <v>85182</v>
      </c>
      <c r="F20" s="17">
        <v>84133</v>
      </c>
      <c r="G20" s="18">
        <f>IF(AND(F65&lt;&gt;0,84133&lt;&gt;0),IF(100*84133/(F65-0)&lt;0.005,"*",100*84133/(F65-0)),0)</f>
        <v>1.4149024461820607</v>
      </c>
    </row>
    <row r="21" spans="1:7" x14ac:dyDescent="0.2">
      <c r="A21" s="11" t="s">
        <v>126</v>
      </c>
      <c r="B21" s="17">
        <v>21018</v>
      </c>
      <c r="C21" s="17">
        <v>21</v>
      </c>
      <c r="D21" s="17">
        <v>29169</v>
      </c>
      <c r="E21" s="17">
        <v>29190</v>
      </c>
      <c r="F21" s="17">
        <v>28830</v>
      </c>
      <c r="G21" s="18">
        <f>IF(AND(F65&lt;&gt;0,28830&lt;&gt;0),IF(100*28830/(F65-0)&lt;0.005,"*",100*28830/(F65-0)),0)</f>
        <v>0.48484705791340865</v>
      </c>
    </row>
    <row r="22" spans="1:7" x14ac:dyDescent="0.2">
      <c r="A22" s="11" t="s">
        <v>127</v>
      </c>
      <c r="B22" s="17">
        <v>27256</v>
      </c>
      <c r="C22" s="17">
        <v>27</v>
      </c>
      <c r="D22" s="17">
        <v>37826</v>
      </c>
      <c r="E22" s="17">
        <v>37853</v>
      </c>
      <c r="F22" s="17">
        <v>37387</v>
      </c>
      <c r="G22" s="18">
        <f>IF(AND(F65&lt;&gt;0,37387&lt;&gt;0),IF(100*37387/(F65-0)&lt;0.005,"*",100*37387/(F65-0)),0)</f>
        <v>0.62875396996908117</v>
      </c>
    </row>
    <row r="23" spans="1:7" x14ac:dyDescent="0.2">
      <c r="A23" s="11" t="s">
        <v>128</v>
      </c>
      <c r="B23" s="17">
        <v>71822</v>
      </c>
      <c r="C23" s="17">
        <v>71</v>
      </c>
      <c r="D23" s="17">
        <v>99675</v>
      </c>
      <c r="E23" s="17">
        <v>99746</v>
      </c>
      <c r="F23" s="17">
        <v>98518</v>
      </c>
      <c r="G23" s="18">
        <f>IF(AND(F65&lt;&gt;0,98518&lt;&gt;0),IF(100*98518/(F65-0)&lt;0.005,"*",100*98518/(F65-0)),0)</f>
        <v>1.6568214516653899</v>
      </c>
    </row>
    <row r="24" spans="1:7" x14ac:dyDescent="0.2">
      <c r="A24" s="11" t="s">
        <v>129</v>
      </c>
      <c r="B24" s="17">
        <v>76544</v>
      </c>
      <c r="C24" s="17">
        <v>76</v>
      </c>
      <c r="D24" s="17">
        <v>106229</v>
      </c>
      <c r="E24" s="17">
        <v>106305</v>
      </c>
      <c r="F24" s="17">
        <v>104995</v>
      </c>
      <c r="G24" s="18">
        <f>IF(AND(F65&lt;&gt;0,104995&lt;&gt;0),IF(100*104995/(F65-0)&lt;0.005,"*",100*104995/(F65-0)),0)</f>
        <v>1.76574806956706</v>
      </c>
    </row>
    <row r="25" spans="1:7" x14ac:dyDescent="0.2">
      <c r="A25" s="11" t="s">
        <v>130</v>
      </c>
      <c r="B25" s="17">
        <v>17215</v>
      </c>
      <c r="C25" s="17">
        <v>17</v>
      </c>
      <c r="D25" s="17">
        <v>23891</v>
      </c>
      <c r="E25" s="17">
        <v>23908</v>
      </c>
      <c r="F25" s="17">
        <v>23614</v>
      </c>
      <c r="G25" s="18">
        <f>IF(AND(F65&lt;&gt;0,23614&lt;&gt;0),IF(100*23614/(F65-0)&lt;0.005,"*",100*23614/(F65-0)),0)</f>
        <v>0.39712724334260258</v>
      </c>
    </row>
    <row r="26" spans="1:7" x14ac:dyDescent="0.2">
      <c r="A26" s="11" t="s">
        <v>131</v>
      </c>
      <c r="B26" s="17">
        <v>82132</v>
      </c>
      <c r="C26" s="17">
        <v>81</v>
      </c>
      <c r="D26" s="17">
        <v>113984</v>
      </c>
      <c r="E26" s="17">
        <v>114065</v>
      </c>
      <c r="F26" s="17">
        <v>112661</v>
      </c>
      <c r="G26" s="18">
        <f>IF(AND(F65&lt;&gt;0,112661&lt;&gt;0),IF(100*112661/(F65-0)&lt;0.005,"*",100*112661/(F65-0)),0)</f>
        <v>1.894670634463494</v>
      </c>
    </row>
    <row r="27" spans="1:7" x14ac:dyDescent="0.2">
      <c r="A27" s="11" t="s">
        <v>132</v>
      </c>
      <c r="B27" s="17">
        <v>69807</v>
      </c>
      <c r="C27" s="17">
        <v>69</v>
      </c>
      <c r="D27" s="17">
        <v>96879</v>
      </c>
      <c r="E27" s="17">
        <v>96948</v>
      </c>
      <c r="F27" s="17">
        <v>95754</v>
      </c>
      <c r="G27" s="18">
        <f>IF(AND(F65&lt;&gt;0,95754&lt;&gt;0),IF(100*95754/(F65-0)&lt;0.005,"*",100*95754/(F65-0)),0)</f>
        <v>1.6103380223184367</v>
      </c>
    </row>
    <row r="28" spans="1:7" x14ac:dyDescent="0.2">
      <c r="A28" s="11" t="s">
        <v>133</v>
      </c>
      <c r="B28" s="17">
        <v>119809</v>
      </c>
      <c r="C28" s="17">
        <v>119</v>
      </c>
      <c r="D28" s="17">
        <v>166272</v>
      </c>
      <c r="E28" s="17">
        <v>166391</v>
      </c>
      <c r="F28" s="17">
        <v>164342</v>
      </c>
      <c r="G28" s="18">
        <f>IF(AND(F65&lt;&gt;0,164342&lt;&gt;0),IF(100*164342/(F65-0)&lt;0.005,"*",100*164342/(F65-0)),0)</f>
        <v>2.7638132220466667</v>
      </c>
    </row>
    <row r="29" spans="1:7" x14ac:dyDescent="0.2">
      <c r="A29" s="11" t="s">
        <v>134</v>
      </c>
      <c r="B29" s="17">
        <v>68962</v>
      </c>
      <c r="C29" s="17">
        <v>68</v>
      </c>
      <c r="D29" s="17">
        <v>95706</v>
      </c>
      <c r="E29" s="17">
        <v>95774</v>
      </c>
      <c r="F29" s="17">
        <v>94595</v>
      </c>
      <c r="G29" s="18">
        <f>IF(AND(F65&lt;&gt;0,94595&lt;&gt;0),IF(100*94595/(F65-0)&lt;0.005,"*",100*94595/(F65-0)),0)</f>
        <v>1.5908465987970479</v>
      </c>
    </row>
    <row r="30" spans="1:7" x14ac:dyDescent="0.2">
      <c r="A30" s="11" t="s">
        <v>135</v>
      </c>
      <c r="B30" s="17">
        <v>30894</v>
      </c>
      <c r="C30" s="17">
        <v>31</v>
      </c>
      <c r="D30" s="17">
        <v>42875</v>
      </c>
      <c r="E30" s="17">
        <v>42906</v>
      </c>
      <c r="F30" s="17">
        <v>42377</v>
      </c>
      <c r="G30" s="18">
        <f>IF(AND(F65&lt;&gt;0,42377&lt;&gt;0),IF(100*42377/(F65-0)&lt;0.005,"*",100*42377/(F65-0)),0)</f>
        <v>0.71267304104046192</v>
      </c>
    </row>
    <row r="31" spans="1:7" x14ac:dyDescent="0.2">
      <c r="A31" s="11" t="s">
        <v>136</v>
      </c>
      <c r="B31" s="17">
        <v>49286</v>
      </c>
      <c r="C31" s="17">
        <v>49</v>
      </c>
      <c r="D31" s="17">
        <v>68400</v>
      </c>
      <c r="E31" s="17">
        <v>68449</v>
      </c>
      <c r="F31" s="17">
        <v>67606</v>
      </c>
      <c r="G31" s="18">
        <f>IF(AND(F65&lt;&gt;0,67606&lt;&gt;0),IF(100*67606/(F65-0)&lt;0.005,"*",100*67606/(F65-0)),0)</f>
        <v>1.136960464699754</v>
      </c>
    </row>
    <row r="32" spans="1:7" x14ac:dyDescent="0.2">
      <c r="A32" s="11" t="s">
        <v>137</v>
      </c>
      <c r="B32" s="17">
        <v>11524</v>
      </c>
      <c r="C32" s="17">
        <v>11</v>
      </c>
      <c r="D32" s="17">
        <v>15993</v>
      </c>
      <c r="E32" s="17">
        <v>16004</v>
      </c>
      <c r="F32" s="17">
        <v>15807</v>
      </c>
      <c r="G32" s="18">
        <f>IF(AND(F65&lt;&gt;0,15807&lt;&gt;0),IF(100*15807/(F65-0)&lt;0.005,"*",100*15807/(F65-0)),0)</f>
        <v>0.26583341812130595</v>
      </c>
    </row>
    <row r="33" spans="1:7" x14ac:dyDescent="0.2">
      <c r="A33" s="11" t="s">
        <v>138</v>
      </c>
      <c r="B33" s="17">
        <v>18906</v>
      </c>
      <c r="C33" s="17">
        <v>19</v>
      </c>
      <c r="D33" s="17">
        <v>26238</v>
      </c>
      <c r="E33" s="17">
        <v>26257</v>
      </c>
      <c r="F33" s="17">
        <v>25933</v>
      </c>
      <c r="G33" s="18">
        <f>IF(AND(F65&lt;&gt;0,25933&lt;&gt;0),IF(100*25933/(F65-0)&lt;0.005,"*",100*25933/(F65-0)),0)</f>
        <v>0.43612690783449276</v>
      </c>
    </row>
    <row r="34" spans="1:7" x14ac:dyDescent="0.2">
      <c r="A34" s="11" t="s">
        <v>139</v>
      </c>
      <c r="B34" s="17">
        <v>29557</v>
      </c>
      <c r="C34" s="17">
        <v>29</v>
      </c>
      <c r="D34" s="17">
        <v>41020</v>
      </c>
      <c r="E34" s="17">
        <v>41049</v>
      </c>
      <c r="F34" s="17">
        <v>40543</v>
      </c>
      <c r="G34" s="18">
        <f>IF(AND(F65&lt;&gt;0,40543&lt;&gt;0),IF(100*40543/(F65-0)&lt;0.005,"*",100*40543/(F65-0)),0)</f>
        <v>0.68182983936813479</v>
      </c>
    </row>
    <row r="35" spans="1:7" x14ac:dyDescent="0.2">
      <c r="A35" s="11" t="s">
        <v>140</v>
      </c>
      <c r="B35" s="17">
        <v>9759</v>
      </c>
      <c r="C35" s="17">
        <v>10</v>
      </c>
      <c r="D35" s="17">
        <v>13544</v>
      </c>
      <c r="E35" s="17">
        <v>13554</v>
      </c>
      <c r="F35" s="17">
        <v>13386</v>
      </c>
      <c r="G35" s="18">
        <f>IF(AND(F65&lt;&gt;0,13386&lt;&gt;0),IF(100*13386/(F65-0)&lt;0.005,"*",100*13386/(F65-0)),0)</f>
        <v>0.22511837381994063</v>
      </c>
    </row>
    <row r="36" spans="1:7" x14ac:dyDescent="0.2">
      <c r="A36" s="11" t="s">
        <v>141</v>
      </c>
      <c r="B36" s="17">
        <v>167400</v>
      </c>
      <c r="C36" s="17">
        <v>166</v>
      </c>
      <c r="D36" s="17">
        <v>232320</v>
      </c>
      <c r="E36" s="17">
        <v>232486</v>
      </c>
      <c r="F36" s="17">
        <v>229623</v>
      </c>
      <c r="G36" s="18">
        <f>IF(AND(F65&lt;&gt;0,229623&lt;&gt;0),IF(100*229623/(F65-0)&lt;0.005,"*",100*229623/(F65-0)),0)</f>
        <v>3.8616731175598553</v>
      </c>
    </row>
    <row r="37" spans="1:7" x14ac:dyDescent="0.2">
      <c r="A37" s="11" t="s">
        <v>142</v>
      </c>
      <c r="B37" s="17">
        <v>26161</v>
      </c>
      <c r="C37" s="17">
        <v>26</v>
      </c>
      <c r="D37" s="17">
        <v>36307</v>
      </c>
      <c r="E37" s="17">
        <v>36333</v>
      </c>
      <c r="F37" s="17">
        <v>35885</v>
      </c>
      <c r="G37" s="18">
        <f>IF(AND(F65&lt;&gt;0,35885&lt;&gt;0),IF(100*35885/(F65-0)&lt;0.005,"*",100*35885/(F65-0)),0)</f>
        <v>0.60349416140210432</v>
      </c>
    </row>
    <row r="38" spans="1:7" x14ac:dyDescent="0.2">
      <c r="A38" s="11" t="s">
        <v>143</v>
      </c>
      <c r="B38" s="17">
        <v>350416</v>
      </c>
      <c r="C38" s="17">
        <v>348</v>
      </c>
      <c r="D38" s="17">
        <v>486311</v>
      </c>
      <c r="E38" s="17">
        <v>486659</v>
      </c>
      <c r="F38" s="17">
        <v>480666</v>
      </c>
      <c r="G38" s="18">
        <f>IF(AND(F65&lt;&gt;0,480666&lt;&gt;0),IF(100*480666/(F65-0)&lt;0.005,"*",100*480666/(F65-0)),0)</f>
        <v>8.0835759951094861</v>
      </c>
    </row>
    <row r="39" spans="1:7" x14ac:dyDescent="0.2">
      <c r="A39" s="11" t="s">
        <v>144</v>
      </c>
      <c r="B39" s="17">
        <v>133772</v>
      </c>
      <c r="C39" s="17">
        <v>133</v>
      </c>
      <c r="D39" s="17">
        <v>185650</v>
      </c>
      <c r="E39" s="17">
        <v>185783</v>
      </c>
      <c r="F39" s="17">
        <v>183495</v>
      </c>
      <c r="G39" s="18">
        <f>IF(AND(F65&lt;&gt;0,183495&lt;&gt;0),IF(100*183495/(F65-0)&lt;0.005,"*",100*183495/(F65-0)),0)</f>
        <v>3.0859178248984014</v>
      </c>
    </row>
    <row r="40" spans="1:7" x14ac:dyDescent="0.2">
      <c r="A40" s="11" t="s">
        <v>145</v>
      </c>
      <c r="B40" s="17">
        <v>11477</v>
      </c>
      <c r="C40" s="17">
        <v>11</v>
      </c>
      <c r="D40" s="17">
        <v>15928</v>
      </c>
      <c r="E40" s="17">
        <v>15939</v>
      </c>
      <c r="F40" s="17">
        <v>15743</v>
      </c>
      <c r="G40" s="18">
        <f>IF(AND(F65&lt;&gt;0,15743&lt;&gt;0),IF(100*15743/(F65-0)&lt;0.005,"*",100*15743/(F65-0)),0)</f>
        <v>0.26475710137810587</v>
      </c>
    </row>
    <row r="41" spans="1:7" x14ac:dyDescent="0.2">
      <c r="A41" s="11" t="s">
        <v>146</v>
      </c>
      <c r="B41" s="17">
        <v>123972</v>
      </c>
      <c r="C41" s="17">
        <v>123</v>
      </c>
      <c r="D41" s="17">
        <v>172050</v>
      </c>
      <c r="E41" s="17">
        <v>172173</v>
      </c>
      <c r="F41" s="17">
        <v>170052</v>
      </c>
      <c r="G41" s="18">
        <f>IF(AND(F65&lt;&gt;0,170052&lt;&gt;0),IF(100*170052/(F65-0)&lt;0.005,"*",100*170052/(F65-0)),0)</f>
        <v>2.8598408564790483</v>
      </c>
    </row>
    <row r="42" spans="1:7" x14ac:dyDescent="0.2">
      <c r="A42" s="11" t="s">
        <v>147</v>
      </c>
      <c r="B42" s="17">
        <v>32130</v>
      </c>
      <c r="C42" s="17">
        <v>32</v>
      </c>
      <c r="D42" s="17">
        <v>44590</v>
      </c>
      <c r="E42" s="17">
        <v>44622</v>
      </c>
      <c r="F42" s="17">
        <v>44073</v>
      </c>
      <c r="G42" s="18">
        <f>IF(AND(F65&lt;&gt;0,44073&lt;&gt;0),IF(100*44073/(F65-0)&lt;0.005,"*",100*44073/(F65-0)),0)</f>
        <v>0.74119543473526395</v>
      </c>
    </row>
    <row r="43" spans="1:7" x14ac:dyDescent="0.2">
      <c r="A43" s="11" t="s">
        <v>148</v>
      </c>
      <c r="B43" s="17">
        <v>119212</v>
      </c>
      <c r="C43" s="17">
        <v>118</v>
      </c>
      <c r="D43" s="17">
        <v>165444</v>
      </c>
      <c r="E43" s="17">
        <v>165562</v>
      </c>
      <c r="F43" s="17">
        <v>163523</v>
      </c>
      <c r="G43" s="18">
        <f>IF(AND(F65&lt;&gt;0,163523&lt;&gt;0),IF(100*163523/(F65-0)&lt;0.005,"*",100*163523/(F65-0)),0)</f>
        <v>2.7500397312235281</v>
      </c>
    </row>
    <row r="44" spans="1:7" x14ac:dyDescent="0.2">
      <c r="A44" s="11" t="s">
        <v>149</v>
      </c>
      <c r="B44" s="17">
        <v>199034</v>
      </c>
      <c r="C44" s="17">
        <v>198</v>
      </c>
      <c r="D44" s="17">
        <v>276222</v>
      </c>
      <c r="E44" s="17">
        <v>276420</v>
      </c>
      <c r="F44" s="17">
        <v>273015</v>
      </c>
      <c r="G44" s="18">
        <f>IF(AND(F65&lt;&gt;0,273015&lt;&gt;0),IF(100*273015/(F65-0)&lt;0.005,"*",100*273015/(F65-0)),0)</f>
        <v>4.5914158694495057</v>
      </c>
    </row>
    <row r="45" spans="1:7" x14ac:dyDescent="0.2">
      <c r="A45" s="11" t="s">
        <v>150</v>
      </c>
      <c r="B45" s="17">
        <v>17496</v>
      </c>
      <c r="C45" s="17">
        <v>17</v>
      </c>
      <c r="D45" s="17">
        <v>24281</v>
      </c>
      <c r="E45" s="17">
        <v>24298</v>
      </c>
      <c r="F45" s="17">
        <v>23999</v>
      </c>
      <c r="G45" s="18">
        <f>IF(AND(F65&lt;&gt;0,23999&lt;&gt;0),IF(100*23999/(F65-0)&lt;0.005,"*",100*23999/(F65-0)),0)</f>
        <v>0.40360196125091552</v>
      </c>
    </row>
    <row r="46" spans="1:7" x14ac:dyDescent="0.2">
      <c r="A46" s="11" t="s">
        <v>151</v>
      </c>
      <c r="B46" s="17">
        <v>26786</v>
      </c>
      <c r="C46" s="17">
        <v>27</v>
      </c>
      <c r="D46" s="17">
        <v>37174</v>
      </c>
      <c r="E46" s="17">
        <v>37201</v>
      </c>
      <c r="F46" s="17">
        <v>36742</v>
      </c>
      <c r="G46" s="18">
        <f>IF(AND(F65&lt;&gt;0,36742&lt;&gt;0),IF(100*36742/(F65-0)&lt;0.005,"*",100*36742/(F65-0)),0)</f>
        <v>0.61790671529151786</v>
      </c>
    </row>
    <row r="47" spans="1:7" x14ac:dyDescent="0.2">
      <c r="A47" s="11" t="s">
        <v>152</v>
      </c>
      <c r="B47" s="17">
        <v>8716</v>
      </c>
      <c r="C47" s="17">
        <v>9</v>
      </c>
      <c r="D47" s="17">
        <v>12096</v>
      </c>
      <c r="E47" s="17">
        <v>12105</v>
      </c>
      <c r="F47" s="17">
        <v>11956</v>
      </c>
      <c r="G47" s="18">
        <f>IF(AND(F65&lt;&gt;0,11956&lt;&gt;0),IF(100*11956/(F65-0)&lt;0.005,"*",100*11956/(F65-0)),0)</f>
        <v>0.20106942158906396</v>
      </c>
    </row>
    <row r="48" spans="1:7" x14ac:dyDescent="0.2">
      <c r="A48" s="11" t="s">
        <v>153</v>
      </c>
      <c r="B48" s="17">
        <v>79676</v>
      </c>
      <c r="C48" s="17">
        <v>79</v>
      </c>
      <c r="D48" s="17">
        <v>110575</v>
      </c>
      <c r="E48" s="17">
        <v>110654</v>
      </c>
      <c r="F48" s="17">
        <v>109292</v>
      </c>
      <c r="G48" s="18">
        <f>IF(AND(F65&lt;&gt;0,109292&lt;&gt;0),IF(100*109292/(F65-0)&lt;0.005,"*",100*109292/(F65-0)),0)</f>
        <v>1.8380126484034776</v>
      </c>
    </row>
    <row r="49" spans="1:7" x14ac:dyDescent="0.2">
      <c r="A49" s="11" t="s">
        <v>154</v>
      </c>
      <c r="B49" s="17">
        <v>208414</v>
      </c>
      <c r="C49" s="17">
        <v>207</v>
      </c>
      <c r="D49" s="17">
        <v>289239</v>
      </c>
      <c r="E49" s="17">
        <v>289446</v>
      </c>
      <c r="F49" s="17">
        <v>285882</v>
      </c>
      <c r="G49" s="18">
        <f>IF(AND(F65&lt;&gt;0,285882&lt;&gt;0),IF(100*285882/(F65-0)&lt;0.005,"*",100*285882/(F65-0)),0)</f>
        <v>4.8078059871800587</v>
      </c>
    </row>
    <row r="50" spans="1:7" x14ac:dyDescent="0.2">
      <c r="A50" s="11" t="s">
        <v>155</v>
      </c>
      <c r="B50" s="17">
        <v>18359</v>
      </c>
      <c r="C50" s="17">
        <v>18</v>
      </c>
      <c r="D50" s="17">
        <v>25479</v>
      </c>
      <c r="E50" s="17">
        <v>25497</v>
      </c>
      <c r="F50" s="17">
        <v>25183</v>
      </c>
      <c r="G50" s="18">
        <f>IF(AND(F65&lt;&gt;0,25183&lt;&gt;0),IF(100*25183/(F65-0)&lt;0.005,"*",100*25183/(F65-0)),0)</f>
        <v>0.42351382100011686</v>
      </c>
    </row>
    <row r="51" spans="1:7" x14ac:dyDescent="0.2">
      <c r="A51" s="11" t="s">
        <v>156</v>
      </c>
      <c r="B51" s="17">
        <v>10136</v>
      </c>
      <c r="C51" s="17">
        <v>10</v>
      </c>
      <c r="D51" s="17">
        <v>14067</v>
      </c>
      <c r="E51" s="17">
        <v>14077</v>
      </c>
      <c r="F51" s="17">
        <v>13904</v>
      </c>
      <c r="G51" s="18">
        <f>IF(AND(F65&lt;&gt;0,13904&lt;&gt;0),IF(100*13904/(F65-0)&lt;0.005,"*",100*13904/(F65-0)),0)</f>
        <v>0.23382981246021622</v>
      </c>
    </row>
    <row r="52" spans="1:7" x14ac:dyDescent="0.2">
      <c r="A52" s="11" t="s">
        <v>157</v>
      </c>
      <c r="B52" s="17">
        <v>123222</v>
      </c>
      <c r="C52" s="17">
        <v>122</v>
      </c>
      <c r="D52" s="17">
        <v>171009</v>
      </c>
      <c r="E52" s="17">
        <v>171131</v>
      </c>
      <c r="F52" s="17">
        <v>169024</v>
      </c>
      <c r="G52" s="18">
        <f>IF(AND(F65&lt;&gt;0,169024&lt;&gt;0),IF(100*169024/(F65-0)&lt;0.005,"*",100*169024/(F65-0)),0)</f>
        <v>2.8425525187913974</v>
      </c>
    </row>
    <row r="53" spans="1:7" x14ac:dyDescent="0.2">
      <c r="A53" s="11" t="s">
        <v>158</v>
      </c>
      <c r="B53" s="17">
        <v>111431</v>
      </c>
      <c r="C53" s="17">
        <v>111</v>
      </c>
      <c r="D53" s="17">
        <v>154645</v>
      </c>
      <c r="E53" s="17">
        <v>154756</v>
      </c>
      <c r="F53" s="17">
        <v>152850</v>
      </c>
      <c r="G53" s="18">
        <f>IF(AND(F65&lt;&gt;0,152850&lt;&gt;0),IF(100*152850/(F65-0)&lt;0.005,"*",100*152850/(F65-0)),0)</f>
        <v>2.5705470968458033</v>
      </c>
    </row>
    <row r="54" spans="1:7" x14ac:dyDescent="0.2">
      <c r="A54" s="11" t="s">
        <v>159</v>
      </c>
      <c r="B54" s="17">
        <v>18247</v>
      </c>
      <c r="C54" s="17">
        <v>18</v>
      </c>
      <c r="D54" s="17">
        <v>25323</v>
      </c>
      <c r="E54" s="17">
        <v>25341</v>
      </c>
      <c r="F54" s="17">
        <v>25029</v>
      </c>
      <c r="G54" s="18">
        <f>IF(AND(F65&lt;&gt;0,25029&lt;&gt;0),IF(100*25029/(F65-0)&lt;0.005,"*",100*25029/(F65-0)),0)</f>
        <v>0.42092393383679172</v>
      </c>
    </row>
    <row r="55" spans="1:7" x14ac:dyDescent="0.2">
      <c r="A55" s="11" t="s">
        <v>160</v>
      </c>
      <c r="B55" s="17">
        <v>76350</v>
      </c>
      <c r="C55" s="17">
        <v>76</v>
      </c>
      <c r="D55" s="17">
        <v>105959</v>
      </c>
      <c r="E55" s="17">
        <v>106035</v>
      </c>
      <c r="F55" s="17">
        <v>104729</v>
      </c>
      <c r="G55" s="18">
        <f>IF(AND(F65&lt;&gt;0,104729&lt;&gt;0),IF(100*104729/(F65-0)&lt;0.005,"*",100*104729/(F65-0)),0)</f>
        <v>1.7612746281031346</v>
      </c>
    </row>
    <row r="56" spans="1:7" x14ac:dyDescent="0.2">
      <c r="A56" s="11" t="s">
        <v>161</v>
      </c>
      <c r="B56" s="17">
        <v>6905</v>
      </c>
      <c r="C56" s="17">
        <v>7</v>
      </c>
      <c r="D56" s="17">
        <v>9583</v>
      </c>
      <c r="E56" s="17">
        <v>9590</v>
      </c>
      <c r="F56" s="17">
        <v>9472</v>
      </c>
      <c r="G56" s="18">
        <f>IF(AND(F65&lt;&gt;0,9472&lt;&gt;0),IF(100*9472/(F65-0)&lt;0.005,"*",100*9472/(F65-0)),0)</f>
        <v>0.15929487799361106</v>
      </c>
    </row>
    <row r="57" spans="1:7" x14ac:dyDescent="0.2">
      <c r="A57" s="11" t="s">
        <v>162</v>
      </c>
      <c r="B57" s="17">
        <v>0</v>
      </c>
      <c r="C57" s="17">
        <v>0</v>
      </c>
      <c r="D57" s="17">
        <v>0</v>
      </c>
      <c r="E57" s="17">
        <v>0</v>
      </c>
      <c r="F57" s="17">
        <v>0</v>
      </c>
      <c r="G57" s="18">
        <f>IF(AND(F65&lt;&gt;0,0&lt;&gt;0),IF(100*0/(F65-0)&lt;0.005,"*",100*0/(F65-0)),0)</f>
        <v>0</v>
      </c>
    </row>
    <row r="58" spans="1:7" x14ac:dyDescent="0.2">
      <c r="A58" s="11" t="s">
        <v>163</v>
      </c>
      <c r="B58" s="17">
        <v>2145</v>
      </c>
      <c r="C58" s="17">
        <v>2</v>
      </c>
      <c r="D58" s="17">
        <v>2977</v>
      </c>
      <c r="E58" s="17">
        <v>2979</v>
      </c>
      <c r="F58" s="17">
        <v>2942</v>
      </c>
      <c r="G58" s="18">
        <f>IF(AND(F65&lt;&gt;0,2942&lt;&gt;0),IF(100*2942/(F65-0)&lt;0.005,"*",100*2942/(F65-0)),0)</f>
        <v>4.9476935288978431E-2</v>
      </c>
    </row>
    <row r="59" spans="1:7" x14ac:dyDescent="0.2">
      <c r="A59" s="11" t="s">
        <v>164</v>
      </c>
      <c r="B59" s="17">
        <v>0</v>
      </c>
      <c r="C59" s="17">
        <v>0</v>
      </c>
      <c r="D59" s="17">
        <v>0</v>
      </c>
      <c r="E59" s="17">
        <v>0</v>
      </c>
      <c r="F59" s="17">
        <v>0</v>
      </c>
      <c r="G59" s="18">
        <f>IF(AND(F65&lt;&gt;0,0&lt;&gt;0),IF(100*0/(F65-0)&lt;0.005,"*",100*0/(F65-0)),0)</f>
        <v>0</v>
      </c>
    </row>
    <row r="60" spans="1:7" x14ac:dyDescent="0.2">
      <c r="A60" s="11" t="s">
        <v>165</v>
      </c>
      <c r="B60" s="17">
        <v>0</v>
      </c>
      <c r="C60" s="17">
        <v>0</v>
      </c>
      <c r="D60" s="17">
        <v>0</v>
      </c>
      <c r="E60" s="17">
        <v>0</v>
      </c>
      <c r="F60" s="17">
        <v>0</v>
      </c>
      <c r="G60" s="18">
        <f>IF(AND(F65&lt;&gt;0,0&lt;&gt;0),IF(100*0/(F65-0)&lt;0.005,"*",100*0/(F65-0)),0)</f>
        <v>0</v>
      </c>
    </row>
    <row r="61" spans="1:7" x14ac:dyDescent="0.2">
      <c r="A61" s="11" t="s">
        <v>166</v>
      </c>
      <c r="B61" s="17">
        <v>0</v>
      </c>
      <c r="C61" s="17">
        <v>0</v>
      </c>
      <c r="D61" s="17">
        <v>0</v>
      </c>
      <c r="E61" s="17">
        <v>0</v>
      </c>
      <c r="F61" s="17">
        <v>0</v>
      </c>
      <c r="G61" s="18">
        <f>IF(AND(F65&lt;&gt;0,0&lt;&gt;0),IF(100*0/(F65-0)&lt;0.005,"*",100*0/(F65-0)),0)</f>
        <v>0</v>
      </c>
    </row>
    <row r="62" spans="1:7" x14ac:dyDescent="0.2">
      <c r="A62" s="11" t="s">
        <v>167</v>
      </c>
      <c r="B62" s="17">
        <v>3765</v>
      </c>
      <c r="C62" s="17">
        <v>4</v>
      </c>
      <c r="D62" s="17">
        <v>5225</v>
      </c>
      <c r="E62" s="17">
        <v>5229</v>
      </c>
      <c r="F62" s="17">
        <v>5164</v>
      </c>
      <c r="G62" s="18">
        <f>IF(AND(F65&lt;&gt;0,5164&lt;&gt;0),IF(100*5164/(F65-0)&lt;0.005,"*",100*5164/(F65-0)),0)</f>
        <v>8.6845307216956019E-2</v>
      </c>
    </row>
    <row r="63" spans="1:7" x14ac:dyDescent="0.2">
      <c r="A63" s="11" t="s">
        <v>168</v>
      </c>
      <c r="B63" s="17">
        <v>0</v>
      </c>
      <c r="C63" s="17">
        <v>0</v>
      </c>
      <c r="D63" s="17">
        <v>0</v>
      </c>
      <c r="E63" s="17">
        <v>0</v>
      </c>
      <c r="F63" s="17">
        <v>0</v>
      </c>
      <c r="G63" s="18">
        <f>IF(AND(F65&lt;&gt;0,0&lt;&gt;0),IF(100*0/(F65-0)&lt;0.005,"*",100*0/(F65-0)),0)</f>
        <v>0</v>
      </c>
    </row>
    <row r="64" spans="1:7" x14ac:dyDescent="0.2">
      <c r="A64" s="11" t="s">
        <v>169</v>
      </c>
      <c r="B64" s="17">
        <v>301314</v>
      </c>
      <c r="C64" s="17">
        <v>0</v>
      </c>
      <c r="D64" s="17">
        <v>0</v>
      </c>
      <c r="E64" s="17">
        <v>0</v>
      </c>
      <c r="F64" s="17">
        <v>0</v>
      </c>
      <c r="G64" s="18">
        <v>0</v>
      </c>
    </row>
    <row r="65" spans="1:7" ht="15" customHeight="1" x14ac:dyDescent="0.2">
      <c r="A65" s="19" t="s">
        <v>110</v>
      </c>
      <c r="B65" s="20">
        <f>66350+14129+70291+32728+1020499+56498+62413+13425+21560+86076+91968+24925+11171+121836+61335+21018+27256+71822+76544+17215+82132+69807+119809+68962+30894+49286+11524+18906+29557+9759+167400+26161+350416+133772+11477+123972+32130+119212+199034+17496+26786+8716+79676+208414+18359+10136+123222+111431+18247+76350+6905+0+2145+0+0+0+3765+0+301314+0</f>
        <v>4636231</v>
      </c>
      <c r="C65" s="20">
        <f>66+14+70+32+1013+56+62+13+21+85+91+25+11+121+61+21+27+71+76+17+81+69+119+68+31+49+11+19+29+10+166+26+348+133+11+123+32+118+198+17+27+9+79+207+18+10+122+111+18+76+7+0+2+0+0+0+4+0+0+0</f>
        <v>4301</v>
      </c>
      <c r="D65" s="20">
        <f>92081+19608+97551+45420+1416260+78409+86617+18631+29921+119457+127634+34591+15503+169085+85121+29169+37826+99675+106229+23891+113984+96879+166272+95706+42875+68400+15993+26238+41020+13544+232320+36307+486311+185650+15928+172050+44590+165444+276222+24281+37174+12096+110575+289239+25479+14067+171009+154645+25323+105959+9583+0+2977+0+0+0+5225+0+0+0</f>
        <v>6016044</v>
      </c>
      <c r="E65" s="20">
        <f>SUM(C65:D65)</f>
        <v>6020345</v>
      </c>
      <c r="F65" s="20">
        <f>91012+19381+96418+44893+1399819+77498+85612+18415+29574+118070+126153+34190+15323+167123+84133+28830+37387+98518+104995+23614+112661+95754+164342+94595+42377+67606+15807+25933+40543+13386+229623+35885+480666+183495+15743+170052+44073+163523+273015+23999+36742+11956+109292+285882+25183+13904+169024+152850+25029+104729+9472+0+2942+0+0+0+5164+0+0+0</f>
        <v>5946205</v>
      </c>
      <c r="G65" s="21" t="s">
        <v>170</v>
      </c>
    </row>
    <row r="66" spans="1:7" ht="15" customHeight="1" x14ac:dyDescent="0.2">
      <c r="A66" s="74" t="s">
        <v>171</v>
      </c>
      <c r="B66" s="74"/>
      <c r="C66" s="74"/>
      <c r="D66" s="74"/>
      <c r="E66" s="74"/>
      <c r="F66" s="74"/>
      <c r="G66" s="74"/>
    </row>
    <row r="67" spans="1:7" ht="15" customHeight="1" x14ac:dyDescent="0.2">
      <c r="A67" s="67" t="s">
        <v>172</v>
      </c>
      <c r="B67" s="67"/>
      <c r="C67" s="67"/>
      <c r="D67" s="67"/>
      <c r="E67" s="67"/>
      <c r="F67" s="67"/>
      <c r="G67" s="67"/>
    </row>
  </sheetData>
  <mergeCells count="6">
    <mergeCell ref="A67:G67"/>
    <mergeCell ref="A4:A5"/>
    <mergeCell ref="B4:B5"/>
    <mergeCell ref="F4:F5"/>
    <mergeCell ref="G4:G5"/>
    <mergeCell ref="A66:G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Overview</vt:lpstr>
      <vt:lpstr>TOC</vt:lpstr>
      <vt:lpstr>Summary of Programs</vt:lpstr>
      <vt:lpstr>State Summary</vt:lpstr>
      <vt:lpstr>Table 14-5</vt:lpstr>
      <vt:lpstr>Table 14-6</vt:lpstr>
      <vt:lpstr>Table 14-7</vt:lpstr>
      <vt:lpstr>Table 14-8</vt:lpstr>
      <vt:lpstr>Table 14-9</vt:lpstr>
      <vt:lpstr>Table 14-10</vt:lpstr>
      <vt:lpstr>Table 14-11</vt:lpstr>
      <vt:lpstr>Table 14-12</vt:lpstr>
      <vt:lpstr>Table 14-13</vt:lpstr>
      <vt:lpstr>Table 14-14</vt:lpstr>
      <vt:lpstr>Table 14-15</vt:lpstr>
      <vt:lpstr>Table 14-16</vt:lpstr>
      <vt:lpstr>Table 14-17</vt:lpstr>
      <vt:lpstr>Table 14-18</vt:lpstr>
      <vt:lpstr>Table 14-19</vt:lpstr>
      <vt:lpstr>Table 14-20</vt:lpstr>
      <vt:lpstr>Table 14-21</vt:lpstr>
      <vt:lpstr>Table 14-22</vt:lpstr>
      <vt:lpstr>Table 14-23</vt:lpstr>
      <vt:lpstr>Table 14-24</vt:lpstr>
      <vt:lpstr>Table 14-25</vt:lpstr>
      <vt:lpstr>Table 14-26</vt:lpstr>
      <vt:lpstr>Table 14-27</vt:lpstr>
      <vt:lpstr>Table 14-28</vt:lpstr>
      <vt:lpstr>Table 14-29</vt:lpstr>
      <vt:lpstr>Table 14-30</vt:lpstr>
      <vt:lpstr>Table 14-31</vt:lpstr>
      <vt:lpstr>Table 14-32</vt:lpstr>
      <vt:lpstr>Table 14-33</vt:lpstr>
      <vt:lpstr>Table 14-34</vt:lpstr>
      <vt:lpstr>Table 14-35</vt:lpstr>
      <vt:lpstr>Table 14-36</vt:lpstr>
      <vt:lpstr>Table 14-37</vt:lpstr>
      <vt:lpstr>Table 14-38</vt:lpstr>
      <vt:lpstr>Table 14-39</vt:lpstr>
      <vt:lpstr>Table 14-40</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OMB</dc:creator>
  <cp:lastModifiedBy>Lauer, Eric P. EOP/OMB</cp:lastModifiedBy>
  <dcterms:created xsi:type="dcterms:W3CDTF">2020-02-04T17:19:31Z</dcterms:created>
  <dcterms:modified xsi:type="dcterms:W3CDTF">2020-02-05T16:42:09Z</dcterms:modified>
</cp:coreProperties>
</file>