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photo\Bud2020\Spreadsheets\state\"/>
    </mc:Choice>
  </mc:AlternateContent>
  <bookViews>
    <workbookView xWindow="0" yWindow="0" windowWidth="11490" windowHeight="3825"/>
  </bookViews>
  <sheets>
    <sheet name="Overview" sheetId="38" r:id="rId1"/>
    <sheet name="TOC" sheetId="1" r:id="rId2"/>
    <sheet name="Summary of Programs" sheetId="42" r:id="rId3"/>
    <sheet name="State Summary" sheetId="43" r:id="rId4"/>
    <sheet name="Table 17-5" sheetId="2" r:id="rId5"/>
    <sheet name="Table 17-6" sheetId="3" r:id="rId6"/>
    <sheet name="Table 17-7" sheetId="4" r:id="rId7"/>
    <sheet name="Table 17-8" sheetId="5" r:id="rId8"/>
    <sheet name="Table 17-9" sheetId="6" r:id="rId9"/>
    <sheet name="Table 17-10" sheetId="7" r:id="rId10"/>
    <sheet name="Table 17-11" sheetId="8" r:id="rId11"/>
    <sheet name="Table 17-12" sheetId="9" r:id="rId12"/>
    <sheet name="Table 17-13" sheetId="10" r:id="rId13"/>
    <sheet name="Table 17-14" sheetId="11" r:id="rId14"/>
    <sheet name="Table 17-15" sheetId="12" r:id="rId15"/>
    <sheet name="Table 17-16" sheetId="13" r:id="rId16"/>
    <sheet name="Table 17-17" sheetId="44" r:id="rId17"/>
    <sheet name="Table 17-18" sheetId="46" r:id="rId18"/>
    <sheet name="Table 17-19" sheetId="45" r:id="rId19"/>
    <sheet name="Table 17-20" sheetId="17" r:id="rId20"/>
    <sheet name="Table 17-21" sheetId="18" r:id="rId21"/>
    <sheet name="Table 17-22" sheetId="19" r:id="rId22"/>
    <sheet name="Table 17-23" sheetId="20" r:id="rId23"/>
    <sheet name="Table 17-24" sheetId="21" r:id="rId24"/>
    <sheet name="Table 17-25" sheetId="22" r:id="rId25"/>
    <sheet name="Table 17-26" sheetId="23" r:id="rId26"/>
    <sheet name="Table 17-27" sheetId="24" r:id="rId27"/>
    <sheet name="Table 17-28" sheetId="25" r:id="rId28"/>
    <sheet name="Table 17-29" sheetId="26" r:id="rId29"/>
    <sheet name="Table 17-30" sheetId="27" r:id="rId30"/>
    <sheet name="Table 17-31" sheetId="28" r:id="rId31"/>
    <sheet name="Table 17-32" sheetId="29" r:id="rId32"/>
    <sheet name="Table 17-33" sheetId="30" r:id="rId33"/>
    <sheet name="Table 17-34" sheetId="31" r:id="rId34"/>
    <sheet name="Table 17-35" sheetId="32" r:id="rId35"/>
    <sheet name="Table 17-36" sheetId="39" r:id="rId36"/>
    <sheet name="Table 17-37" sheetId="34" r:id="rId37"/>
    <sheet name="Table 17-38" sheetId="35" r:id="rId38"/>
    <sheet name="Table 17-39" sheetId="36" r:id="rId39"/>
  </sheets>
  <definedNames>
    <definedName name="_xlnm.Print_Area" localSheetId="0">Overview!$A$1:$B$17</definedName>
    <definedName name="_xlnm.Print_Area" localSheetId="9">'Table 17-10'!$A$1:$G$66</definedName>
    <definedName name="_xlnm.Print_Area" localSheetId="4">'Table 17-5'!$A$1:$G$66</definedName>
    <definedName name="_xlnm.Print_Area" localSheetId="5">'Table 17-6'!$A$1:$G$66</definedName>
    <definedName name="_xlnm.Print_Area" localSheetId="6">'Table 17-7'!$A$1:$G$66</definedName>
    <definedName name="_xlnm.Print_Area" localSheetId="7">'Table 17-8'!$A$1:$G$66</definedName>
    <definedName name="_xlnm.Print_Area" localSheetId="8">'Table 17-9'!$A$1:$G$66</definedName>
    <definedName name="_xlnm.Print_Area" localSheetId="1">TOC!$A$1:$D$53</definedName>
  </definedNames>
  <calcPr calcId="162913"/>
</workbook>
</file>

<file path=xl/calcChain.xml><?xml version="1.0" encoding="utf-8"?>
<calcChain xmlns="http://schemas.openxmlformats.org/spreadsheetml/2006/main">
  <c r="G8" i="46" l="1"/>
  <c r="G9" i="46"/>
  <c r="G12" i="46"/>
  <c r="G13" i="46"/>
  <c r="G16" i="46"/>
  <c r="G17" i="46"/>
  <c r="G20" i="46"/>
  <c r="G21" i="46"/>
  <c r="G24" i="46"/>
  <c r="G25" i="46"/>
  <c r="G28" i="46"/>
  <c r="G29" i="46"/>
  <c r="G32" i="46"/>
  <c r="G33" i="46"/>
  <c r="G36" i="46"/>
  <c r="G37" i="46"/>
  <c r="G40" i="46"/>
  <c r="G41" i="46"/>
  <c r="G44" i="46"/>
  <c r="G45" i="46"/>
  <c r="G48" i="46"/>
  <c r="G49" i="46"/>
  <c r="G52" i="46"/>
  <c r="G53" i="46"/>
  <c r="G56" i="46"/>
  <c r="G57" i="46"/>
  <c r="G60" i="46"/>
  <c r="G61" i="46"/>
  <c r="G65" i="46"/>
  <c r="G66" i="46"/>
  <c r="B67" i="46"/>
  <c r="C67" i="46"/>
  <c r="D67" i="46"/>
  <c r="E67" i="46"/>
  <c r="F67" i="46"/>
  <c r="G6" i="46" s="1"/>
  <c r="G9" i="45"/>
  <c r="G13" i="45"/>
  <c r="G17" i="45"/>
  <c r="G21" i="45"/>
  <c r="G25" i="45"/>
  <c r="G29" i="45"/>
  <c r="G33" i="45"/>
  <c r="G37" i="45"/>
  <c r="G41" i="45"/>
  <c r="G45" i="45"/>
  <c r="G49" i="45"/>
  <c r="G53" i="45"/>
  <c r="G57" i="45"/>
  <c r="G61" i="45"/>
  <c r="B65" i="45"/>
  <c r="C65" i="45"/>
  <c r="E65" i="45" s="1"/>
  <c r="D65" i="45"/>
  <c r="F65" i="45"/>
  <c r="G6" i="45" s="1"/>
  <c r="G9" i="44"/>
  <c r="G13" i="44"/>
  <c r="G25" i="44"/>
  <c r="G29" i="44"/>
  <c r="G41" i="44"/>
  <c r="G45" i="44"/>
  <c r="G57" i="44"/>
  <c r="G61" i="44"/>
  <c r="B68" i="44"/>
  <c r="C68" i="44"/>
  <c r="D68" i="44"/>
  <c r="F68" i="44"/>
  <c r="G6" i="44" s="1"/>
  <c r="B6" i="43"/>
  <c r="C6" i="43"/>
  <c r="D6" i="43"/>
  <c r="E6" i="43"/>
  <c r="F6" i="43"/>
  <c r="B7" i="43"/>
  <c r="C7" i="43"/>
  <c r="E7" i="43" s="1"/>
  <c r="D7" i="43"/>
  <c r="F7" i="43"/>
  <c r="B8" i="43"/>
  <c r="C8" i="43"/>
  <c r="D8" i="43"/>
  <c r="E8" i="43"/>
  <c r="F8" i="43"/>
  <c r="B9" i="43"/>
  <c r="C9" i="43"/>
  <c r="E9" i="43" s="1"/>
  <c r="D9" i="43"/>
  <c r="F9" i="43"/>
  <c r="B10" i="43"/>
  <c r="C10" i="43"/>
  <c r="D10" i="43"/>
  <c r="E10" i="43"/>
  <c r="F10" i="43"/>
  <c r="B11" i="43"/>
  <c r="C11" i="43"/>
  <c r="E11" i="43" s="1"/>
  <c r="D11" i="43"/>
  <c r="F11" i="43"/>
  <c r="B12" i="43"/>
  <c r="C12" i="43"/>
  <c r="D12" i="43"/>
  <c r="E12" i="43"/>
  <c r="F12" i="43"/>
  <c r="B13" i="43"/>
  <c r="C13" i="43"/>
  <c r="E13" i="43" s="1"/>
  <c r="D13" i="43"/>
  <c r="F13" i="43"/>
  <c r="B14" i="43"/>
  <c r="C14" i="43"/>
  <c r="D14" i="43"/>
  <c r="E14" i="43"/>
  <c r="F14" i="43"/>
  <c r="B15" i="43"/>
  <c r="C15" i="43"/>
  <c r="E15" i="43" s="1"/>
  <c r="D15" i="43"/>
  <c r="F15" i="43"/>
  <c r="B16" i="43"/>
  <c r="C16" i="43"/>
  <c r="D16" i="43"/>
  <c r="E16" i="43"/>
  <c r="F16" i="43"/>
  <c r="B17" i="43"/>
  <c r="C17" i="43"/>
  <c r="E17" i="43" s="1"/>
  <c r="D17" i="43"/>
  <c r="F17" i="43"/>
  <c r="B18" i="43"/>
  <c r="C18" i="43"/>
  <c r="D18" i="43"/>
  <c r="E18" i="43"/>
  <c r="F18" i="43"/>
  <c r="B19" i="43"/>
  <c r="C19" i="43"/>
  <c r="E19" i="43" s="1"/>
  <c r="D19" i="43"/>
  <c r="F19" i="43"/>
  <c r="B20" i="43"/>
  <c r="C20" i="43"/>
  <c r="D20" i="43"/>
  <c r="E20" i="43"/>
  <c r="F20" i="43"/>
  <c r="B21" i="43"/>
  <c r="C21" i="43"/>
  <c r="E21" i="43" s="1"/>
  <c r="D21" i="43"/>
  <c r="F21" i="43"/>
  <c r="B22" i="43"/>
  <c r="C22" i="43"/>
  <c r="D22" i="43"/>
  <c r="E22" i="43"/>
  <c r="F22" i="43"/>
  <c r="B23" i="43"/>
  <c r="C23" i="43"/>
  <c r="E23" i="43" s="1"/>
  <c r="D23" i="43"/>
  <c r="F23" i="43"/>
  <c r="B24" i="43"/>
  <c r="C24" i="43"/>
  <c r="D24" i="43"/>
  <c r="E24" i="43"/>
  <c r="F24" i="43"/>
  <c r="B25" i="43"/>
  <c r="C25" i="43"/>
  <c r="E25" i="43" s="1"/>
  <c r="D25" i="43"/>
  <c r="F25" i="43"/>
  <c r="B26" i="43"/>
  <c r="C26" i="43"/>
  <c r="D26" i="43"/>
  <c r="E26" i="43"/>
  <c r="F26" i="43"/>
  <c r="B27" i="43"/>
  <c r="C27" i="43"/>
  <c r="E27" i="43" s="1"/>
  <c r="D27" i="43"/>
  <c r="F27" i="43"/>
  <c r="B28" i="43"/>
  <c r="C28" i="43"/>
  <c r="D28" i="43"/>
  <c r="E28" i="43"/>
  <c r="F28" i="43"/>
  <c r="B29" i="43"/>
  <c r="C29" i="43"/>
  <c r="E29" i="43" s="1"/>
  <c r="D29" i="43"/>
  <c r="F29" i="43"/>
  <c r="B30" i="43"/>
  <c r="C30" i="43"/>
  <c r="D30" i="43"/>
  <c r="E30" i="43"/>
  <c r="F30" i="43"/>
  <c r="B31" i="43"/>
  <c r="C31" i="43"/>
  <c r="E31" i="43" s="1"/>
  <c r="D31" i="43"/>
  <c r="F31" i="43"/>
  <c r="B32" i="43"/>
  <c r="C32" i="43"/>
  <c r="D32" i="43"/>
  <c r="E32" i="43"/>
  <c r="F32" i="43"/>
  <c r="B33" i="43"/>
  <c r="B64" i="43" s="1"/>
  <c r="B67" i="43" s="1"/>
  <c r="C33" i="43"/>
  <c r="E33" i="43" s="1"/>
  <c r="D33" i="43"/>
  <c r="F33" i="43"/>
  <c r="F64" i="43" s="1"/>
  <c r="B34" i="43"/>
  <c r="C34" i="43"/>
  <c r="D34" i="43"/>
  <c r="E34" i="43"/>
  <c r="F34" i="43"/>
  <c r="B35" i="43"/>
  <c r="C35" i="43"/>
  <c r="E35" i="43" s="1"/>
  <c r="D35" i="43"/>
  <c r="F35" i="43"/>
  <c r="B36" i="43"/>
  <c r="C36" i="43"/>
  <c r="D36" i="43"/>
  <c r="E36" i="43"/>
  <c r="F36" i="43"/>
  <c r="B37" i="43"/>
  <c r="C37" i="43"/>
  <c r="E37" i="43" s="1"/>
  <c r="D37" i="43"/>
  <c r="F37" i="43"/>
  <c r="B38" i="43"/>
  <c r="C38" i="43"/>
  <c r="D38" i="43"/>
  <c r="E38" i="43"/>
  <c r="F38" i="43"/>
  <c r="B39" i="43"/>
  <c r="C39" i="43"/>
  <c r="E39" i="43" s="1"/>
  <c r="D39" i="43"/>
  <c r="F39" i="43"/>
  <c r="B40" i="43"/>
  <c r="C40" i="43"/>
  <c r="D40" i="43"/>
  <c r="E40" i="43"/>
  <c r="F40" i="43"/>
  <c r="B41" i="43"/>
  <c r="C41" i="43"/>
  <c r="E41" i="43" s="1"/>
  <c r="D41" i="43"/>
  <c r="F41" i="43"/>
  <c r="B42" i="43"/>
  <c r="C42" i="43"/>
  <c r="D42" i="43"/>
  <c r="E42" i="43"/>
  <c r="F42" i="43"/>
  <c r="B43" i="43"/>
  <c r="C43" i="43"/>
  <c r="E43" i="43" s="1"/>
  <c r="D43" i="43"/>
  <c r="F43" i="43"/>
  <c r="B44" i="43"/>
  <c r="C44" i="43"/>
  <c r="D44" i="43"/>
  <c r="E44" i="43"/>
  <c r="F44" i="43"/>
  <c r="B45" i="43"/>
  <c r="C45" i="43"/>
  <c r="E45" i="43" s="1"/>
  <c r="D45" i="43"/>
  <c r="F45" i="43"/>
  <c r="B46" i="43"/>
  <c r="C46" i="43"/>
  <c r="D46" i="43"/>
  <c r="E46" i="43"/>
  <c r="F46" i="43"/>
  <c r="B47" i="43"/>
  <c r="C47" i="43"/>
  <c r="E47" i="43" s="1"/>
  <c r="D47" i="43"/>
  <c r="F47" i="43"/>
  <c r="B48" i="43"/>
  <c r="C48" i="43"/>
  <c r="D48" i="43"/>
  <c r="E48" i="43"/>
  <c r="F48" i="43"/>
  <c r="B49" i="43"/>
  <c r="C49" i="43"/>
  <c r="E49" i="43" s="1"/>
  <c r="D49" i="43"/>
  <c r="F49" i="43"/>
  <c r="B50" i="43"/>
  <c r="C50" i="43"/>
  <c r="D50" i="43"/>
  <c r="E50" i="43"/>
  <c r="F50" i="43"/>
  <c r="B51" i="43"/>
  <c r="C51" i="43"/>
  <c r="E51" i="43" s="1"/>
  <c r="D51" i="43"/>
  <c r="F51" i="43"/>
  <c r="B52" i="43"/>
  <c r="C52" i="43"/>
  <c r="D52" i="43"/>
  <c r="E52" i="43"/>
  <c r="F52" i="43"/>
  <c r="B53" i="43"/>
  <c r="C53" i="43"/>
  <c r="E53" i="43" s="1"/>
  <c r="D53" i="43"/>
  <c r="F53" i="43"/>
  <c r="B54" i="43"/>
  <c r="C54" i="43"/>
  <c r="D54" i="43"/>
  <c r="E54" i="43"/>
  <c r="F54" i="43"/>
  <c r="B55" i="43"/>
  <c r="C55" i="43"/>
  <c r="E55" i="43" s="1"/>
  <c r="D55" i="43"/>
  <c r="F55" i="43"/>
  <c r="B56" i="43"/>
  <c r="C56" i="43"/>
  <c r="D56" i="43"/>
  <c r="E56" i="43"/>
  <c r="F56" i="43"/>
  <c r="B57" i="43"/>
  <c r="C57" i="43"/>
  <c r="E57" i="43" s="1"/>
  <c r="D57" i="43"/>
  <c r="F57" i="43"/>
  <c r="B58" i="43"/>
  <c r="C58" i="43"/>
  <c r="D58" i="43"/>
  <c r="E58" i="43"/>
  <c r="F58" i="43"/>
  <c r="B59" i="43"/>
  <c r="C59" i="43"/>
  <c r="E59" i="43" s="1"/>
  <c r="D59" i="43"/>
  <c r="F59" i="43"/>
  <c r="B60" i="43"/>
  <c r="C60" i="43"/>
  <c r="D60" i="43"/>
  <c r="E60" i="43"/>
  <c r="F60" i="43"/>
  <c r="B61" i="43"/>
  <c r="C61" i="43"/>
  <c r="E61" i="43" s="1"/>
  <c r="D61" i="43"/>
  <c r="F61" i="43"/>
  <c r="B62" i="43"/>
  <c r="C62" i="43"/>
  <c r="D62" i="43"/>
  <c r="E62" i="43"/>
  <c r="F62" i="43"/>
  <c r="B63" i="43"/>
  <c r="C63" i="43"/>
  <c r="E63" i="43" s="1"/>
  <c r="D63" i="43"/>
  <c r="F63" i="43"/>
  <c r="D64" i="43"/>
  <c r="D67" i="43" s="1"/>
  <c r="B66" i="43"/>
  <c r="C66" i="43"/>
  <c r="E66" i="43" s="1"/>
  <c r="D66" i="43"/>
  <c r="F66" i="43"/>
  <c r="G66" i="44" l="1"/>
  <c r="G49" i="44"/>
  <c r="G33" i="44"/>
  <c r="G17" i="44"/>
  <c r="E68" i="44"/>
  <c r="G53" i="44"/>
  <c r="G37" i="44"/>
  <c r="G21" i="44"/>
  <c r="G63" i="46"/>
  <c r="G59" i="46"/>
  <c r="G55" i="46"/>
  <c r="G51" i="46"/>
  <c r="G47" i="46"/>
  <c r="G43" i="46"/>
  <c r="G39" i="46"/>
  <c r="G35" i="46"/>
  <c r="G31" i="46"/>
  <c r="G27" i="46"/>
  <c r="G23" i="46"/>
  <c r="G19" i="46"/>
  <c r="G15" i="46"/>
  <c r="G11" i="46"/>
  <c r="G7" i="46"/>
  <c r="G62" i="46"/>
  <c r="G58" i="46"/>
  <c r="G54" i="46"/>
  <c r="G50" i="46"/>
  <c r="G46" i="46"/>
  <c r="G42" i="46"/>
  <c r="G38" i="46"/>
  <c r="G34" i="46"/>
  <c r="G30" i="46"/>
  <c r="G26" i="46"/>
  <c r="G22" i="46"/>
  <c r="G18" i="46"/>
  <c r="G14" i="46"/>
  <c r="G10" i="46"/>
  <c r="G60" i="45"/>
  <c r="G56" i="45"/>
  <c r="G52" i="45"/>
  <c r="G48" i="45"/>
  <c r="G44" i="45"/>
  <c r="G40" i="45"/>
  <c r="G36" i="45"/>
  <c r="G32" i="45"/>
  <c r="G28" i="45"/>
  <c r="G24" i="45"/>
  <c r="G20" i="45"/>
  <c r="G16" i="45"/>
  <c r="G12" i="45"/>
  <c r="G8" i="45"/>
  <c r="G63" i="45"/>
  <c r="G59" i="45"/>
  <c r="G55" i="45"/>
  <c r="G51" i="45"/>
  <c r="G47" i="45"/>
  <c r="G43" i="45"/>
  <c r="G39" i="45"/>
  <c r="G35" i="45"/>
  <c r="G31" i="45"/>
  <c r="G27" i="45"/>
  <c r="G23" i="45"/>
  <c r="G19" i="45"/>
  <c r="G15" i="45"/>
  <c r="G11" i="45"/>
  <c r="G7" i="45"/>
  <c r="G62" i="45"/>
  <c r="G58" i="45"/>
  <c r="G54" i="45"/>
  <c r="G50" i="45"/>
  <c r="G46" i="45"/>
  <c r="G42" i="45"/>
  <c r="G38" i="45"/>
  <c r="G34" i="45"/>
  <c r="G30" i="45"/>
  <c r="G26" i="45"/>
  <c r="G22" i="45"/>
  <c r="G18" i="45"/>
  <c r="G14" i="45"/>
  <c r="G10" i="45"/>
  <c r="G65" i="44"/>
  <c r="G60" i="44"/>
  <c r="G56" i="44"/>
  <c r="G52" i="44"/>
  <c r="G48" i="44"/>
  <c r="G44" i="44"/>
  <c r="G40" i="44"/>
  <c r="G36" i="44"/>
  <c r="G32" i="44"/>
  <c r="G28" i="44"/>
  <c r="G24" i="44"/>
  <c r="G20" i="44"/>
  <c r="G16" i="44"/>
  <c r="G12" i="44"/>
  <c r="G8" i="44"/>
  <c r="G63" i="44"/>
  <c r="G59" i="44"/>
  <c r="G55" i="44"/>
  <c r="G51" i="44"/>
  <c r="G47" i="44"/>
  <c r="G43" i="44"/>
  <c r="G39" i="44"/>
  <c r="G35" i="44"/>
  <c r="G31" i="44"/>
  <c r="G27" i="44"/>
  <c r="G23" i="44"/>
  <c r="G19" i="44"/>
  <c r="G15" i="44"/>
  <c r="G11" i="44"/>
  <c r="G7" i="44"/>
  <c r="G67" i="44"/>
  <c r="G62" i="44"/>
  <c r="G58" i="44"/>
  <c r="G54" i="44"/>
  <c r="G50" i="44"/>
  <c r="G46" i="44"/>
  <c r="G42" i="44"/>
  <c r="G38" i="44"/>
  <c r="G34" i="44"/>
  <c r="G30" i="44"/>
  <c r="G26" i="44"/>
  <c r="G22" i="44"/>
  <c r="G18" i="44"/>
  <c r="G14" i="44"/>
  <c r="G10" i="44"/>
  <c r="E64" i="43"/>
  <c r="E67" i="43" s="1"/>
  <c r="G7" i="43"/>
  <c r="G13" i="43"/>
  <c r="G15" i="43"/>
  <c r="G19" i="43"/>
  <c r="G23" i="43"/>
  <c r="G27" i="43"/>
  <c r="G31" i="43"/>
  <c r="G35" i="43"/>
  <c r="G39" i="43"/>
  <c r="G43" i="43"/>
  <c r="G47" i="43"/>
  <c r="G51" i="43"/>
  <c r="G55" i="43"/>
  <c r="G57" i="43"/>
  <c r="G63" i="43"/>
  <c r="F67" i="43"/>
  <c r="G6" i="43"/>
  <c r="G8" i="43"/>
  <c r="G10" i="43"/>
  <c r="G12" i="43"/>
  <c r="G14" i="43"/>
  <c r="G16" i="43"/>
  <c r="G18" i="43"/>
  <c r="G20" i="43"/>
  <c r="G22" i="43"/>
  <c r="G24" i="43"/>
  <c r="G26" i="43"/>
  <c r="G28" i="43"/>
  <c r="G30" i="43"/>
  <c r="G32" i="43"/>
  <c r="G34" i="43"/>
  <c r="G36" i="43"/>
  <c r="G38" i="43"/>
  <c r="G40" i="43"/>
  <c r="G42" i="43"/>
  <c r="G44" i="43"/>
  <c r="G46" i="43"/>
  <c r="G48" i="43"/>
  <c r="G50" i="43"/>
  <c r="G52" i="43"/>
  <c r="G54" i="43"/>
  <c r="G56" i="43"/>
  <c r="G58" i="43"/>
  <c r="G60" i="43"/>
  <c r="G62" i="43"/>
  <c r="G9" i="43"/>
  <c r="G11" i="43"/>
  <c r="G17" i="43"/>
  <c r="G21" i="43"/>
  <c r="G25" i="43"/>
  <c r="G29" i="43"/>
  <c r="G33" i="43"/>
  <c r="G37" i="43"/>
  <c r="G41" i="43"/>
  <c r="G45" i="43"/>
  <c r="G49" i="43"/>
  <c r="G53" i="43"/>
  <c r="G59" i="43"/>
  <c r="G61" i="43"/>
  <c r="C64" i="43"/>
  <c r="C67" i="43" s="1"/>
  <c r="G64" i="43" l="1"/>
  <c r="B6" i="42" l="1"/>
  <c r="C6" i="42"/>
  <c r="D6" i="42"/>
  <c r="E6" i="42"/>
  <c r="F6" i="42"/>
  <c r="B7" i="42"/>
  <c r="C7" i="42"/>
  <c r="E7" i="42" s="1"/>
  <c r="D7" i="42"/>
  <c r="D55" i="42" s="1"/>
  <c r="F7" i="42"/>
  <c r="B8" i="42"/>
  <c r="C8" i="42"/>
  <c r="C55" i="42" s="1"/>
  <c r="D8" i="42"/>
  <c r="F8" i="42"/>
  <c r="B9" i="42"/>
  <c r="C9" i="42"/>
  <c r="D9" i="42"/>
  <c r="E9" i="42" s="1"/>
  <c r="F9" i="42"/>
  <c r="B10" i="42"/>
  <c r="C10" i="42"/>
  <c r="D10" i="42"/>
  <c r="E10" i="42"/>
  <c r="F10" i="42"/>
  <c r="B12" i="42"/>
  <c r="C12" i="42"/>
  <c r="E12" i="42" s="1"/>
  <c r="D12" i="42"/>
  <c r="F12" i="42"/>
  <c r="B13" i="42"/>
  <c r="C13" i="42"/>
  <c r="E13" i="42" s="1"/>
  <c r="D13" i="42"/>
  <c r="F13" i="42"/>
  <c r="B15" i="42"/>
  <c r="C15" i="42"/>
  <c r="D15" i="42"/>
  <c r="E15" i="42" s="1"/>
  <c r="F15" i="42"/>
  <c r="B16" i="42"/>
  <c r="C16" i="42"/>
  <c r="D16" i="42"/>
  <c r="E16" i="42"/>
  <c r="F16" i="42"/>
  <c r="B18" i="42"/>
  <c r="C18" i="42"/>
  <c r="E18" i="42" s="1"/>
  <c r="D18" i="42"/>
  <c r="F18" i="42"/>
  <c r="B19" i="42"/>
  <c r="C19" i="42"/>
  <c r="E19" i="42" s="1"/>
  <c r="D19" i="42"/>
  <c r="F19" i="42"/>
  <c r="B20" i="42"/>
  <c r="C20" i="42"/>
  <c r="D20" i="42"/>
  <c r="E20" i="42" s="1"/>
  <c r="F20" i="42"/>
  <c r="B21" i="42"/>
  <c r="C21" i="42"/>
  <c r="D21" i="42"/>
  <c r="E21" i="42"/>
  <c r="F21" i="42"/>
  <c r="B22" i="42"/>
  <c r="C22" i="42"/>
  <c r="E22" i="42" s="1"/>
  <c r="D22" i="42"/>
  <c r="F22" i="42"/>
  <c r="B23" i="42"/>
  <c r="C23" i="42"/>
  <c r="E23" i="42" s="1"/>
  <c r="D23" i="42"/>
  <c r="F23" i="42"/>
  <c r="B24" i="42"/>
  <c r="C24" i="42"/>
  <c r="D24" i="42"/>
  <c r="E24" i="42" s="1"/>
  <c r="F24" i="42"/>
  <c r="B25" i="42"/>
  <c r="C25" i="42"/>
  <c r="D25" i="42"/>
  <c r="E25" i="42"/>
  <c r="F25" i="42"/>
  <c r="B26" i="42"/>
  <c r="C26" i="42"/>
  <c r="E26" i="42" s="1"/>
  <c r="D26" i="42"/>
  <c r="F26" i="42"/>
  <c r="B27" i="42"/>
  <c r="C27" i="42"/>
  <c r="E27" i="42" s="1"/>
  <c r="D27" i="42"/>
  <c r="F27" i="42"/>
  <c r="B29" i="42"/>
  <c r="C29" i="42"/>
  <c r="D29" i="42"/>
  <c r="E29" i="42" s="1"/>
  <c r="F29" i="42"/>
  <c r="B30" i="42"/>
  <c r="C30" i="42"/>
  <c r="D30" i="42"/>
  <c r="E30" i="42"/>
  <c r="F30" i="42"/>
  <c r="B32" i="42"/>
  <c r="C32" i="42"/>
  <c r="E32" i="42" s="1"/>
  <c r="D32" i="42"/>
  <c r="F32" i="42"/>
  <c r="B34" i="42"/>
  <c r="C34" i="42"/>
  <c r="E34" i="42" s="1"/>
  <c r="D34" i="42"/>
  <c r="F34" i="42"/>
  <c r="B36" i="42"/>
  <c r="C36" i="42"/>
  <c r="D36" i="42"/>
  <c r="E36" i="42" s="1"/>
  <c r="F36" i="42"/>
  <c r="B37" i="42"/>
  <c r="C37" i="42"/>
  <c r="D37" i="42"/>
  <c r="E37" i="42"/>
  <c r="F37" i="42"/>
  <c r="B39" i="42"/>
  <c r="C39" i="42"/>
  <c r="E39" i="42" s="1"/>
  <c r="D39" i="42"/>
  <c r="F39" i="42"/>
  <c r="B40" i="42"/>
  <c r="C40" i="42"/>
  <c r="E40" i="42" s="1"/>
  <c r="D40" i="42"/>
  <c r="F40" i="42"/>
  <c r="B41" i="42"/>
  <c r="C41" i="42"/>
  <c r="D41" i="42"/>
  <c r="E41" i="42" s="1"/>
  <c r="F41" i="42"/>
  <c r="B43" i="42"/>
  <c r="C43" i="42"/>
  <c r="D43" i="42"/>
  <c r="E43" i="42"/>
  <c r="F43" i="42"/>
  <c r="B45" i="42"/>
  <c r="C45" i="42"/>
  <c r="E45" i="42" s="1"/>
  <c r="D45" i="42"/>
  <c r="F45" i="42"/>
  <c r="B47" i="42"/>
  <c r="C47" i="42"/>
  <c r="E47" i="42" s="1"/>
  <c r="D47" i="42"/>
  <c r="F47" i="42"/>
  <c r="B49" i="42"/>
  <c r="C49" i="42"/>
  <c r="D49" i="42"/>
  <c r="E49" i="42" s="1"/>
  <c r="F49" i="42"/>
  <c r="B51" i="42"/>
  <c r="C51" i="42"/>
  <c r="D51" i="42"/>
  <c r="E51" i="42"/>
  <c r="F51" i="42"/>
  <c r="B52" i="42"/>
  <c r="C52" i="42"/>
  <c r="E52" i="42" s="1"/>
  <c r="D52" i="42"/>
  <c r="F52" i="42"/>
  <c r="B54" i="42"/>
  <c r="C54" i="42"/>
  <c r="E54" i="42" s="1"/>
  <c r="D54" i="42"/>
  <c r="F54" i="42"/>
  <c r="B55" i="42"/>
  <c r="F55" i="42"/>
  <c r="E55" i="42" l="1"/>
  <c r="E8" i="42"/>
  <c r="G9" i="39" l="1"/>
  <c r="G13" i="39"/>
  <c r="G17" i="39"/>
  <c r="G21" i="39"/>
  <c r="G25" i="39"/>
  <c r="G29" i="39"/>
  <c r="G33" i="39"/>
  <c r="G37" i="39"/>
  <c r="G41" i="39"/>
  <c r="G45" i="39"/>
  <c r="G49" i="39"/>
  <c r="G53" i="39"/>
  <c r="G57" i="39"/>
  <c r="G61" i="39"/>
  <c r="B65" i="39"/>
  <c r="C65" i="39"/>
  <c r="E65" i="39" s="1"/>
  <c r="D65" i="39"/>
  <c r="F65" i="39"/>
  <c r="G6" i="39" s="1"/>
  <c r="G60" i="39" l="1"/>
  <c r="G56" i="39"/>
  <c r="G52" i="39"/>
  <c r="G48" i="39"/>
  <c r="G44" i="39"/>
  <c r="G40" i="39"/>
  <c r="G36" i="39"/>
  <c r="G32" i="39"/>
  <c r="G28" i="39"/>
  <c r="G24" i="39"/>
  <c r="G20" i="39"/>
  <c r="G16" i="39"/>
  <c r="G12" i="39"/>
  <c r="G8" i="39"/>
  <c r="G63" i="39"/>
  <c r="G59" i="39"/>
  <c r="G55" i="39"/>
  <c r="G51" i="39"/>
  <c r="G47" i="39"/>
  <c r="G43" i="39"/>
  <c r="G39" i="39"/>
  <c r="G35" i="39"/>
  <c r="G31" i="39"/>
  <c r="G27" i="39"/>
  <c r="G23" i="39"/>
  <c r="G19" i="39"/>
  <c r="G15" i="39"/>
  <c r="G11" i="39"/>
  <c r="G7" i="39"/>
  <c r="G62" i="39"/>
  <c r="G58" i="39"/>
  <c r="G54" i="39"/>
  <c r="G50" i="39"/>
  <c r="G46" i="39"/>
  <c r="G42" i="39"/>
  <c r="G38" i="39"/>
  <c r="G34" i="39"/>
  <c r="G30" i="39"/>
  <c r="G26" i="39"/>
  <c r="G22" i="39"/>
  <c r="G18" i="39"/>
  <c r="G14" i="39"/>
  <c r="G10" i="39"/>
  <c r="F65" i="36" l="1"/>
  <c r="D65" i="36"/>
  <c r="C65" i="36"/>
  <c r="E65" i="36" s="1"/>
  <c r="B65" i="36"/>
  <c r="G63" i="36"/>
  <c r="G62" i="36"/>
  <c r="G61" i="36"/>
  <c r="G60" i="36"/>
  <c r="G59" i="36"/>
  <c r="G58" i="36"/>
  <c r="G57" i="36"/>
  <c r="G56" i="36"/>
  <c r="G55" i="36"/>
  <c r="G54" i="36"/>
  <c r="G53" i="36"/>
  <c r="G52" i="36"/>
  <c r="G51" i="36"/>
  <c r="G50" i="36"/>
  <c r="G49" i="36"/>
  <c r="G48" i="36"/>
  <c r="G47" i="36"/>
  <c r="G46" i="36"/>
  <c r="G45" i="36"/>
  <c r="G44" i="36"/>
  <c r="G43" i="36"/>
  <c r="G42" i="36"/>
  <c r="G41" i="36"/>
  <c r="G40" i="36"/>
  <c r="G39" i="36"/>
  <c r="G38" i="36"/>
  <c r="G37" i="36"/>
  <c r="G36" i="36"/>
  <c r="G35" i="36"/>
  <c r="G34" i="36"/>
  <c r="G33" i="36"/>
  <c r="G32" i="36"/>
  <c r="G31" i="36"/>
  <c r="G30" i="36"/>
  <c r="G29" i="36"/>
  <c r="G28" i="36"/>
  <c r="G27" i="36"/>
  <c r="G26" i="36"/>
  <c r="G25" i="36"/>
  <c r="G24" i="36"/>
  <c r="G23" i="36"/>
  <c r="G22" i="36"/>
  <c r="G21" i="36"/>
  <c r="G20" i="36"/>
  <c r="G19" i="36"/>
  <c r="G18" i="36"/>
  <c r="G17" i="36"/>
  <c r="G16" i="36"/>
  <c r="G15" i="36"/>
  <c r="G14" i="36"/>
  <c r="G13" i="36"/>
  <c r="G12" i="36"/>
  <c r="G11" i="36"/>
  <c r="G10" i="36"/>
  <c r="G9" i="36"/>
  <c r="G8" i="36"/>
  <c r="G7" i="36"/>
  <c r="G6" i="36"/>
  <c r="F69" i="35"/>
  <c r="G63" i="35" s="1"/>
  <c r="D69" i="35"/>
  <c r="C69" i="35"/>
  <c r="B69" i="35"/>
  <c r="G68" i="35"/>
  <c r="G65" i="35"/>
  <c r="G51" i="35"/>
  <c r="G48" i="35"/>
  <c r="G35" i="35"/>
  <c r="G32" i="35"/>
  <c r="G19" i="35"/>
  <c r="G16" i="35"/>
  <c r="F67" i="34"/>
  <c r="G65" i="34" s="1"/>
  <c r="D67" i="34"/>
  <c r="C67" i="34"/>
  <c r="E67" i="34" s="1"/>
  <c r="B67" i="34"/>
  <c r="G66" i="34"/>
  <c r="G62" i="34"/>
  <c r="G60" i="34"/>
  <c r="G59" i="34"/>
  <c r="G58" i="34"/>
  <c r="G57" i="34"/>
  <c r="G54" i="34"/>
  <c r="G52" i="34"/>
  <c r="G51" i="34"/>
  <c r="G50" i="34"/>
  <c r="G49" i="34"/>
  <c r="G46" i="34"/>
  <c r="G44" i="34"/>
  <c r="G43" i="34"/>
  <c r="G42" i="34"/>
  <c r="G41" i="34"/>
  <c r="G38" i="34"/>
  <c r="G36" i="34"/>
  <c r="G35" i="34"/>
  <c r="G34" i="34"/>
  <c r="G33" i="34"/>
  <c r="G30" i="34"/>
  <c r="G28" i="34"/>
  <c r="G27" i="34"/>
  <c r="G26" i="34"/>
  <c r="G25" i="34"/>
  <c r="G22" i="34"/>
  <c r="G20" i="34"/>
  <c r="G19" i="34"/>
  <c r="G18" i="34"/>
  <c r="G17" i="34"/>
  <c r="G14" i="34"/>
  <c r="G12" i="34"/>
  <c r="G11" i="34"/>
  <c r="G10" i="34"/>
  <c r="G9" i="34"/>
  <c r="G6" i="34"/>
  <c r="D65" i="32"/>
  <c r="C65" i="32"/>
  <c r="B65" i="32"/>
  <c r="F65" i="31"/>
  <c r="G61" i="31" s="1"/>
  <c r="D65" i="31"/>
  <c r="C65" i="31"/>
  <c r="B65" i="31"/>
  <c r="G63" i="31"/>
  <c r="G62" i="31"/>
  <c r="G59" i="31"/>
  <c r="G58" i="31"/>
  <c r="G57" i="31"/>
  <c r="G56" i="31"/>
  <c r="G55" i="31"/>
  <c r="G54" i="31"/>
  <c r="G52" i="31"/>
  <c r="G51" i="31"/>
  <c r="G50" i="31"/>
  <c r="G49" i="31"/>
  <c r="G48" i="31"/>
  <c r="G47" i="31"/>
  <c r="G46" i="31"/>
  <c r="G44" i="31"/>
  <c r="G43" i="31"/>
  <c r="G42" i="31"/>
  <c r="G41" i="31"/>
  <c r="G40" i="31"/>
  <c r="G39" i="31"/>
  <c r="G38" i="31"/>
  <c r="G36" i="31"/>
  <c r="G35" i="31"/>
  <c r="G34" i="31"/>
  <c r="G33" i="31"/>
  <c r="G32" i="31"/>
  <c r="G31" i="31"/>
  <c r="G30" i="31"/>
  <c r="G28" i="31"/>
  <c r="G27" i="31"/>
  <c r="G26" i="31"/>
  <c r="G25" i="31"/>
  <c r="G24" i="31"/>
  <c r="G23" i="31"/>
  <c r="G22" i="31"/>
  <c r="G20" i="31"/>
  <c r="G19" i="31"/>
  <c r="G18" i="31"/>
  <c r="G17" i="31"/>
  <c r="G16" i="31"/>
  <c r="G15" i="31"/>
  <c r="G14" i="31"/>
  <c r="G12" i="31"/>
  <c r="G11" i="31"/>
  <c r="G10" i="31"/>
  <c r="G9" i="31"/>
  <c r="G8" i="31"/>
  <c r="G7" i="31"/>
  <c r="G6" i="31"/>
  <c r="F67" i="30"/>
  <c r="D67" i="30"/>
  <c r="C67" i="30"/>
  <c r="E67" i="30" s="1"/>
  <c r="B67" i="30"/>
  <c r="G66" i="30"/>
  <c r="G65" i="30"/>
  <c r="G63" i="30"/>
  <c r="G62" i="30"/>
  <c r="G61" i="30"/>
  <c r="G60" i="30"/>
  <c r="G59"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F65" i="29"/>
  <c r="G61" i="29" s="1"/>
  <c r="D65" i="29"/>
  <c r="C65" i="29"/>
  <c r="E65" i="29" s="1"/>
  <c r="B65" i="29"/>
  <c r="G63" i="29"/>
  <c r="G62" i="29"/>
  <c r="G60" i="29"/>
  <c r="G59" i="29"/>
  <c r="G58" i="29"/>
  <c r="G57" i="29"/>
  <c r="G56" i="29"/>
  <c r="G55" i="29"/>
  <c r="G54" i="29"/>
  <c r="G52" i="29"/>
  <c r="G51" i="29"/>
  <c r="G50" i="29"/>
  <c r="G49" i="29"/>
  <c r="G48" i="29"/>
  <c r="G47" i="29"/>
  <c r="G46" i="29"/>
  <c r="G44" i="29"/>
  <c r="G43" i="29"/>
  <c r="G42" i="29"/>
  <c r="G41" i="29"/>
  <c r="G40" i="29"/>
  <c r="G39" i="29"/>
  <c r="G38" i="29"/>
  <c r="G36" i="29"/>
  <c r="G35" i="29"/>
  <c r="G34" i="29"/>
  <c r="G33" i="29"/>
  <c r="G32" i="29"/>
  <c r="G31" i="29"/>
  <c r="G30" i="29"/>
  <c r="G28" i="29"/>
  <c r="G27" i="29"/>
  <c r="G26" i="29"/>
  <c r="G25" i="29"/>
  <c r="G24" i="29"/>
  <c r="G23" i="29"/>
  <c r="G22" i="29"/>
  <c r="G20" i="29"/>
  <c r="G19" i="29"/>
  <c r="G18" i="29"/>
  <c r="G17" i="29"/>
  <c r="G16" i="29"/>
  <c r="G15" i="29"/>
  <c r="G14" i="29"/>
  <c r="G12" i="29"/>
  <c r="G11" i="29"/>
  <c r="G10" i="29"/>
  <c r="G9" i="29"/>
  <c r="G8" i="29"/>
  <c r="G7" i="29"/>
  <c r="G6" i="29"/>
  <c r="F65" i="28"/>
  <c r="D65" i="28"/>
  <c r="C65" i="28"/>
  <c r="E65" i="28" s="1"/>
  <c r="B65" i="28"/>
  <c r="G63" i="28"/>
  <c r="G62" i="28"/>
  <c r="G61" i="28"/>
  <c r="G60" i="28"/>
  <c r="G59"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F65" i="27"/>
  <c r="G60" i="27" s="1"/>
  <c r="D65" i="27"/>
  <c r="C65" i="27"/>
  <c r="B65" i="27"/>
  <c r="G61" i="27"/>
  <c r="G52" i="27"/>
  <c r="G46" i="27"/>
  <c r="G37" i="27"/>
  <c r="G28" i="27"/>
  <c r="G17" i="27"/>
  <c r="G8" i="27"/>
  <c r="F65" i="26"/>
  <c r="G61" i="26" s="1"/>
  <c r="E65" i="26"/>
  <c r="D65" i="26"/>
  <c r="C65" i="26"/>
  <c r="B65" i="26"/>
  <c r="G62" i="26"/>
  <c r="G59" i="26"/>
  <c r="G53" i="26"/>
  <c r="G48" i="26"/>
  <c r="G47" i="26"/>
  <c r="G39" i="26"/>
  <c r="G38" i="26"/>
  <c r="G30" i="26"/>
  <c r="G29" i="26"/>
  <c r="G21" i="26"/>
  <c r="G20" i="26"/>
  <c r="G15" i="26"/>
  <c r="G11" i="26"/>
  <c r="G6" i="26"/>
  <c r="F65" i="25"/>
  <c r="D65" i="25"/>
  <c r="E65" i="25" s="1"/>
  <c r="C65" i="25"/>
  <c r="B65" i="25"/>
  <c r="G53" i="25"/>
  <c r="G44" i="25"/>
  <c r="G16" i="25"/>
  <c r="G7" i="25"/>
  <c r="F65" i="24"/>
  <c r="G42" i="24" s="1"/>
  <c r="D65" i="24"/>
  <c r="C65" i="24"/>
  <c r="E65" i="24" s="1"/>
  <c r="B65" i="24"/>
  <c r="F65" i="23"/>
  <c r="G59" i="23" s="1"/>
  <c r="D65" i="23"/>
  <c r="C65" i="23"/>
  <c r="E65" i="23" s="1"/>
  <c r="B65" i="23"/>
  <c r="F68" i="22"/>
  <c r="G66" i="22" s="1"/>
  <c r="E68" i="22"/>
  <c r="D68" i="22"/>
  <c r="C68" i="22"/>
  <c r="B68" i="22"/>
  <c r="G63" i="22"/>
  <c r="G62" i="22"/>
  <c r="G61" i="22"/>
  <c r="G55" i="22"/>
  <c r="G54" i="22"/>
  <c r="G53" i="22"/>
  <c r="G47" i="22"/>
  <c r="G46" i="22"/>
  <c r="G45" i="22"/>
  <c r="G39" i="22"/>
  <c r="G38" i="22"/>
  <c r="G37" i="22"/>
  <c r="G31" i="22"/>
  <c r="G30" i="22"/>
  <c r="G29" i="22"/>
  <c r="G23" i="22"/>
  <c r="G22" i="22"/>
  <c r="G21" i="22"/>
  <c r="G15" i="22"/>
  <c r="G14" i="22"/>
  <c r="G13" i="22"/>
  <c r="G7" i="22"/>
  <c r="G6" i="22"/>
  <c r="F65" i="21"/>
  <c r="G52" i="21" s="1"/>
  <c r="D65" i="21"/>
  <c r="C65" i="21"/>
  <c r="B65" i="21"/>
  <c r="G54" i="21"/>
  <c r="G53" i="21"/>
  <c r="G36" i="21"/>
  <c r="G29" i="21"/>
  <c r="G13" i="21"/>
  <c r="G12" i="21"/>
  <c r="F65" i="20"/>
  <c r="G52" i="20" s="1"/>
  <c r="D65" i="20"/>
  <c r="C65" i="20"/>
  <c r="E65" i="20" s="1"/>
  <c r="B65" i="20"/>
  <c r="G61" i="20"/>
  <c r="G60" i="20"/>
  <c r="G59" i="20"/>
  <c r="G53" i="20"/>
  <c r="G51" i="20"/>
  <c r="G45" i="20"/>
  <c r="G44" i="20"/>
  <c r="G43" i="20"/>
  <c r="G37" i="20"/>
  <c r="G36" i="20"/>
  <c r="G35" i="20"/>
  <c r="G28" i="20"/>
  <c r="G27" i="20"/>
  <c r="G21" i="20"/>
  <c r="G20" i="20"/>
  <c r="G19" i="20"/>
  <c r="G13" i="20"/>
  <c r="G12" i="20"/>
  <c r="D65" i="19"/>
  <c r="C65" i="19"/>
  <c r="B65" i="19"/>
  <c r="E66" i="18"/>
  <c r="D66" i="18"/>
  <c r="C66" i="18"/>
  <c r="B66" i="18"/>
  <c r="F69" i="17"/>
  <c r="G61" i="17" s="1"/>
  <c r="D69" i="17"/>
  <c r="C69" i="17"/>
  <c r="E69" i="17" s="1"/>
  <c r="B69" i="17"/>
  <c r="G66" i="17"/>
  <c r="G62" i="17"/>
  <c r="G57" i="17"/>
  <c r="G56" i="17"/>
  <c r="G55" i="17"/>
  <c r="G54" i="17"/>
  <c r="G48" i="17"/>
  <c r="G46" i="17"/>
  <c r="G45" i="17"/>
  <c r="G41" i="17"/>
  <c r="G40" i="17"/>
  <c r="G37" i="17"/>
  <c r="G32" i="17"/>
  <c r="G31" i="17"/>
  <c r="G30" i="17"/>
  <c r="G29" i="17"/>
  <c r="G23" i="17"/>
  <c r="G21" i="17"/>
  <c r="G17" i="17"/>
  <c r="G16" i="17"/>
  <c r="G15" i="17"/>
  <c r="G9" i="17"/>
  <c r="G7" i="17"/>
  <c r="G6" i="17"/>
  <c r="F68" i="13"/>
  <c r="D68" i="13"/>
  <c r="C68" i="13"/>
  <c r="E68" i="13" s="1"/>
  <c r="G63" i="13"/>
  <c r="G62" i="13"/>
  <c r="G61" i="13"/>
  <c r="G60" i="13"/>
  <c r="G59" i="13"/>
  <c r="G58" i="13"/>
  <c r="G54" i="13"/>
  <c r="G53" i="13"/>
  <c r="G52" i="13"/>
  <c r="G51" i="13"/>
  <c r="G50" i="13"/>
  <c r="G49" i="13"/>
  <c r="G45" i="13"/>
  <c r="G44" i="13"/>
  <c r="G43" i="13"/>
  <c r="G42" i="13"/>
  <c r="G41" i="13"/>
  <c r="G39" i="13"/>
  <c r="G36" i="13"/>
  <c r="G35" i="13"/>
  <c r="G34" i="13"/>
  <c r="G33" i="13"/>
  <c r="G31" i="13"/>
  <c r="G30" i="13"/>
  <c r="G27" i="13"/>
  <c r="G26" i="13"/>
  <c r="G25" i="13"/>
  <c r="G23" i="13"/>
  <c r="G22" i="13"/>
  <c r="G21" i="13"/>
  <c r="G18" i="13"/>
  <c r="G17" i="13"/>
  <c r="G15" i="13"/>
  <c r="G14" i="13"/>
  <c r="G13" i="13"/>
  <c r="G12" i="13"/>
  <c r="G9" i="13"/>
  <c r="G7" i="13"/>
  <c r="G6" i="13"/>
  <c r="F65" i="12"/>
  <c r="G41" i="12" s="1"/>
  <c r="D65" i="12"/>
  <c r="E65" i="12" s="1"/>
  <c r="C65" i="12"/>
  <c r="B65" i="12"/>
  <c r="G49" i="12"/>
  <c r="G40" i="12"/>
  <c r="G32" i="12"/>
  <c r="G12" i="12"/>
  <c r="F65" i="11"/>
  <c r="G56" i="11" s="1"/>
  <c r="D65" i="11"/>
  <c r="C65" i="11"/>
  <c r="B65" i="11"/>
  <c r="G59" i="11"/>
  <c r="G58" i="11"/>
  <c r="G57" i="11"/>
  <c r="G50" i="11"/>
  <c r="G49" i="11"/>
  <c r="G48" i="11"/>
  <c r="G41" i="11"/>
  <c r="G40" i="11"/>
  <c r="G39" i="11"/>
  <c r="G37" i="11"/>
  <c r="G32" i="11"/>
  <c r="G31" i="11"/>
  <c r="G29" i="11"/>
  <c r="G28" i="11"/>
  <c r="G23" i="11"/>
  <c r="G21" i="11"/>
  <c r="G20" i="11"/>
  <c r="G19" i="11"/>
  <c r="G13" i="11"/>
  <c r="G12" i="11"/>
  <c r="G11" i="11"/>
  <c r="G10" i="11"/>
  <c r="F67" i="10"/>
  <c r="D67" i="10"/>
  <c r="C67" i="10"/>
  <c r="E67" i="10" s="1"/>
  <c r="B67" i="10"/>
  <c r="G62" i="10"/>
  <c r="G61" i="10"/>
  <c r="G60" i="10"/>
  <c r="G59" i="10"/>
  <c r="G58" i="10"/>
  <c r="G57" i="10"/>
  <c r="G53" i="10"/>
  <c r="G52" i="10"/>
  <c r="G51" i="10"/>
  <c r="G50" i="10"/>
  <c r="G49" i="10"/>
  <c r="G48" i="10"/>
  <c r="G44" i="10"/>
  <c r="G43" i="10"/>
  <c r="G42" i="10"/>
  <c r="G41" i="10"/>
  <c r="G40" i="10"/>
  <c r="G38" i="10"/>
  <c r="G35" i="10"/>
  <c r="G34" i="10"/>
  <c r="G33" i="10"/>
  <c r="G32" i="10"/>
  <c r="G30" i="10"/>
  <c r="G29" i="10"/>
  <c r="G26" i="10"/>
  <c r="G25" i="10"/>
  <c r="G24" i="10"/>
  <c r="G22" i="10"/>
  <c r="G21" i="10"/>
  <c r="G20" i="10"/>
  <c r="G17" i="10"/>
  <c r="G16" i="10"/>
  <c r="G14" i="10"/>
  <c r="G13" i="10"/>
  <c r="G12" i="10"/>
  <c r="G11" i="10"/>
  <c r="G8" i="10"/>
  <c r="G6" i="10"/>
  <c r="F65" i="9"/>
  <c r="G49" i="9" s="1"/>
  <c r="D65" i="9"/>
  <c r="C65" i="9"/>
  <c r="B65" i="9"/>
  <c r="G56" i="9"/>
  <c r="G50" i="9"/>
  <c r="G47" i="9"/>
  <c r="G37" i="9"/>
  <c r="G30" i="9"/>
  <c r="G29" i="9"/>
  <c r="G15" i="9"/>
  <c r="G14" i="9"/>
  <c r="F65" i="8"/>
  <c r="G54" i="8" s="1"/>
  <c r="D65" i="8"/>
  <c r="C65" i="8"/>
  <c r="B65" i="8"/>
  <c r="G63" i="8"/>
  <c r="G55" i="8"/>
  <c r="G52" i="8"/>
  <c r="G47" i="8"/>
  <c r="G37" i="8"/>
  <c r="G36" i="8"/>
  <c r="G22" i="8"/>
  <c r="G21" i="8"/>
  <c r="G7" i="8"/>
  <c r="G6" i="8"/>
  <c r="F65" i="7"/>
  <c r="G53" i="7" s="1"/>
  <c r="E65" i="7"/>
  <c r="D65" i="7"/>
  <c r="C65" i="7"/>
  <c r="B65" i="7"/>
  <c r="G59" i="7"/>
  <c r="G38" i="7"/>
  <c r="G27" i="7"/>
  <c r="G11" i="7"/>
  <c r="G6" i="7"/>
  <c r="F65" i="6"/>
  <c r="D65" i="6"/>
  <c r="C65" i="6"/>
  <c r="B65" i="6"/>
  <c r="G60" i="6"/>
  <c r="G59" i="6"/>
  <c r="G58" i="6"/>
  <c r="G44" i="6"/>
  <c r="G43" i="6"/>
  <c r="G42" i="6"/>
  <c r="G28" i="6"/>
  <c r="G27" i="6"/>
  <c r="G26" i="6"/>
  <c r="G12" i="6"/>
  <c r="G11" i="6"/>
  <c r="G10" i="6"/>
  <c r="F65" i="5"/>
  <c r="D65" i="5"/>
  <c r="C65" i="5"/>
  <c r="E65" i="5" s="1"/>
  <c r="B65" i="5"/>
  <c r="G62" i="5"/>
  <c r="G60" i="5"/>
  <c r="G59" i="5"/>
  <c r="G58" i="5"/>
  <c r="G57" i="5"/>
  <c r="G54" i="5"/>
  <c r="G52" i="5"/>
  <c r="G51" i="5"/>
  <c r="G50" i="5"/>
  <c r="G49" i="5"/>
  <c r="G46" i="5"/>
  <c r="G44" i="5"/>
  <c r="G43" i="5"/>
  <c r="G42" i="5"/>
  <c r="G41" i="5"/>
  <c r="G38" i="5"/>
  <c r="G36" i="5"/>
  <c r="G35" i="5"/>
  <c r="G34" i="5"/>
  <c r="G33" i="5"/>
  <c r="G30" i="5"/>
  <c r="G28" i="5"/>
  <c r="G27" i="5"/>
  <c r="G26" i="5"/>
  <c r="G25" i="5"/>
  <c r="G22" i="5"/>
  <c r="G20" i="5"/>
  <c r="G19" i="5"/>
  <c r="G18" i="5"/>
  <c r="G17" i="5"/>
  <c r="G14" i="5"/>
  <c r="G12" i="5"/>
  <c r="G11" i="5"/>
  <c r="G10" i="5"/>
  <c r="G9" i="5"/>
  <c r="G6" i="5"/>
  <c r="F65" i="4"/>
  <c r="G63" i="4" s="1"/>
  <c r="D65" i="4"/>
  <c r="C65" i="4"/>
  <c r="E65" i="4" s="1"/>
  <c r="B65" i="4"/>
  <c r="G61" i="4"/>
  <c r="G60" i="4"/>
  <c r="G59" i="4"/>
  <c r="G58" i="4"/>
  <c r="G57" i="4"/>
  <c r="G56" i="4"/>
  <c r="G53" i="4"/>
  <c r="G52" i="4"/>
  <c r="G51" i="4"/>
  <c r="G50" i="4"/>
  <c r="G49" i="4"/>
  <c r="G48" i="4"/>
  <c r="G45" i="4"/>
  <c r="G44" i="4"/>
  <c r="G43" i="4"/>
  <c r="G42" i="4"/>
  <c r="G41" i="4"/>
  <c r="G40" i="4"/>
  <c r="G37" i="4"/>
  <c r="G36" i="4"/>
  <c r="G35" i="4"/>
  <c r="G34" i="4"/>
  <c r="G33" i="4"/>
  <c r="G32" i="4"/>
  <c r="G29" i="4"/>
  <c r="G28" i="4"/>
  <c r="G27" i="4"/>
  <c r="G26" i="4"/>
  <c r="G25" i="4"/>
  <c r="G24" i="4"/>
  <c r="G21" i="4"/>
  <c r="G20" i="4"/>
  <c r="G19" i="4"/>
  <c r="G18" i="4"/>
  <c r="G17" i="4"/>
  <c r="G16" i="4"/>
  <c r="G13" i="4"/>
  <c r="G12" i="4"/>
  <c r="G11" i="4"/>
  <c r="G10" i="4"/>
  <c r="G9" i="4"/>
  <c r="G8" i="4"/>
  <c r="F65" i="3"/>
  <c r="G55" i="3" s="1"/>
  <c r="D65" i="3"/>
  <c r="C65" i="3"/>
  <c r="B65" i="3"/>
  <c r="G60" i="3"/>
  <c r="G52" i="3"/>
  <c r="G47" i="3"/>
  <c r="G39" i="3"/>
  <c r="G33" i="3"/>
  <c r="G26" i="3"/>
  <c r="G20" i="3"/>
  <c r="G16" i="3"/>
  <c r="G10" i="3"/>
  <c r="F65" i="2"/>
  <c r="G62" i="2" s="1"/>
  <c r="D65" i="2"/>
  <c r="C65" i="2"/>
  <c r="B65" i="2"/>
  <c r="G8" i="35" l="1"/>
  <c r="G24" i="35"/>
  <c r="G40" i="35"/>
  <c r="G56" i="35"/>
  <c r="G11" i="35"/>
  <c r="G27" i="35"/>
  <c r="G43" i="35"/>
  <c r="G59" i="35"/>
  <c r="E69" i="35"/>
  <c r="G60" i="31"/>
  <c r="E65" i="31"/>
  <c r="G14" i="27"/>
  <c r="G20" i="27"/>
  <c r="G29" i="27"/>
  <c r="G38" i="27"/>
  <c r="G47" i="27"/>
  <c r="G56" i="27"/>
  <c r="G62" i="27"/>
  <c r="G6" i="27"/>
  <c r="G15" i="27"/>
  <c r="G24" i="27"/>
  <c r="G30" i="27"/>
  <c r="G39" i="27"/>
  <c r="G48" i="27"/>
  <c r="G57" i="27"/>
  <c r="G7" i="27"/>
  <c r="G16" i="27"/>
  <c r="G25" i="27"/>
  <c r="G36" i="27"/>
  <c r="G40" i="27"/>
  <c r="G49" i="27"/>
  <c r="E65" i="27"/>
  <c r="G7" i="26"/>
  <c r="G16" i="26"/>
  <c r="G27" i="26"/>
  <c r="G31" i="26"/>
  <c r="G40" i="26"/>
  <c r="G51" i="26"/>
  <c r="G60" i="26"/>
  <c r="G8" i="26"/>
  <c r="G19" i="26"/>
  <c r="G28" i="26"/>
  <c r="G37" i="26"/>
  <c r="G43" i="26"/>
  <c r="G52" i="26"/>
  <c r="G7" i="24"/>
  <c r="G26" i="24"/>
  <c r="G51" i="24"/>
  <c r="G14" i="24"/>
  <c r="G33" i="24"/>
  <c r="G53" i="24"/>
  <c r="G23" i="24"/>
  <c r="G44" i="24"/>
  <c r="G62" i="24"/>
  <c r="G17" i="24"/>
  <c r="G35" i="24"/>
  <c r="G60" i="24"/>
  <c r="G13" i="23"/>
  <c r="G32" i="23"/>
  <c r="G50" i="23"/>
  <c r="G6" i="23"/>
  <c r="G43" i="23"/>
  <c r="G16" i="23"/>
  <c r="G34" i="23"/>
  <c r="G52" i="23"/>
  <c r="G25" i="23"/>
  <c r="G61" i="23"/>
  <c r="G22" i="23"/>
  <c r="G41" i="23"/>
  <c r="G6" i="21"/>
  <c r="G30" i="21"/>
  <c r="E65" i="21"/>
  <c r="E65" i="19"/>
  <c r="E65" i="11"/>
  <c r="G16" i="9"/>
  <c r="G31" i="9"/>
  <c r="G48" i="9"/>
  <c r="G13" i="9"/>
  <c r="G21" i="9"/>
  <c r="G32" i="9"/>
  <c r="E65" i="9"/>
  <c r="G15" i="8"/>
  <c r="G23" i="8"/>
  <c r="G38" i="8"/>
  <c r="G53" i="8"/>
  <c r="G20" i="8"/>
  <c r="G31" i="8"/>
  <c r="G39" i="8"/>
  <c r="E65" i="8"/>
  <c r="G21" i="7"/>
  <c r="G43" i="7"/>
  <c r="G22" i="7"/>
  <c r="G54" i="7"/>
  <c r="E65" i="6"/>
  <c r="G7" i="3"/>
  <c r="G11" i="3"/>
  <c r="G17" i="3"/>
  <c r="G23" i="3"/>
  <c r="G27" i="3"/>
  <c r="G34" i="3"/>
  <c r="G40" i="3"/>
  <c r="G48" i="3"/>
  <c r="G56" i="3"/>
  <c r="G63" i="3"/>
  <c r="G8" i="3"/>
  <c r="G12" i="3"/>
  <c r="G18" i="3"/>
  <c r="G24" i="3"/>
  <c r="G28" i="3"/>
  <c r="G35" i="3"/>
  <c r="G42" i="3"/>
  <c r="G49" i="3"/>
  <c r="G57" i="3"/>
  <c r="G9" i="3"/>
  <c r="G15" i="3"/>
  <c r="G19" i="3"/>
  <c r="G25" i="3"/>
  <c r="G32" i="3"/>
  <c r="G36" i="3"/>
  <c r="G44" i="3"/>
  <c r="G50" i="3"/>
  <c r="G58" i="3"/>
  <c r="E65" i="3"/>
  <c r="G7" i="2"/>
  <c r="G11" i="2"/>
  <c r="G15" i="2"/>
  <c r="G19" i="2"/>
  <c r="G23" i="2"/>
  <c r="G27" i="2"/>
  <c r="G31" i="2"/>
  <c r="G35" i="2"/>
  <c r="G39" i="2"/>
  <c r="G43" i="2"/>
  <c r="G47" i="2"/>
  <c r="G51" i="2"/>
  <c r="G55" i="2"/>
  <c r="G59" i="2"/>
  <c r="G63" i="2"/>
  <c r="G8" i="2"/>
  <c r="G12" i="2"/>
  <c r="G16" i="2"/>
  <c r="G20" i="2"/>
  <c r="G24" i="2"/>
  <c r="G28" i="2"/>
  <c r="G32" i="2"/>
  <c r="G36" i="2"/>
  <c r="G40" i="2"/>
  <c r="G44" i="2"/>
  <c r="G48" i="2"/>
  <c r="G52" i="2"/>
  <c r="G56" i="2"/>
  <c r="G60" i="2"/>
  <c r="G9" i="2"/>
  <c r="G13" i="2"/>
  <c r="G17" i="2"/>
  <c r="G21" i="2"/>
  <c r="G25" i="2"/>
  <c r="G29" i="2"/>
  <c r="G33" i="2"/>
  <c r="G37" i="2"/>
  <c r="G41" i="2"/>
  <c r="G45" i="2"/>
  <c r="G49" i="2"/>
  <c r="G53" i="2"/>
  <c r="G57" i="2"/>
  <c r="G61" i="2"/>
  <c r="E65" i="2"/>
  <c r="G6" i="2"/>
  <c r="G10" i="2"/>
  <c r="G14" i="2"/>
  <c r="G18" i="2"/>
  <c r="G22" i="2"/>
  <c r="G26" i="2"/>
  <c r="G30" i="2"/>
  <c r="G34" i="2"/>
  <c r="G38" i="2"/>
  <c r="G42" i="2"/>
  <c r="G46" i="2"/>
  <c r="G50" i="2"/>
  <c r="G54" i="2"/>
  <c r="G58" i="2"/>
  <c r="G57" i="6"/>
  <c r="G49" i="6"/>
  <c r="G41" i="6"/>
  <c r="G33" i="6"/>
  <c r="G25" i="6"/>
  <c r="G17" i="6"/>
  <c r="G9" i="6"/>
  <c r="G55" i="6"/>
  <c r="G47" i="6"/>
  <c r="G31" i="6"/>
  <c r="G15" i="6"/>
  <c r="G56" i="6"/>
  <c r="G48" i="6"/>
  <c r="G40" i="6"/>
  <c r="G32" i="6"/>
  <c r="G24" i="6"/>
  <c r="G16" i="6"/>
  <c r="G8" i="6"/>
  <c r="G39" i="6"/>
  <c r="G7" i="6"/>
  <c r="G63" i="6"/>
  <c r="G23" i="6"/>
  <c r="G62" i="6"/>
  <c r="G54" i="6"/>
  <c r="G46" i="6"/>
  <c r="G38" i="6"/>
  <c r="G30" i="6"/>
  <c r="G22" i="6"/>
  <c r="G14" i="6"/>
  <c r="G6" i="6"/>
  <c r="G37" i="7"/>
  <c r="G58" i="7"/>
  <c r="G50" i="7"/>
  <c r="G42" i="7"/>
  <c r="G34" i="7"/>
  <c r="G26" i="7"/>
  <c r="G18" i="7"/>
  <c r="G10" i="7"/>
  <c r="G24" i="7"/>
  <c r="G8" i="7"/>
  <c r="G57" i="7"/>
  <c r="G49" i="7"/>
  <c r="G41" i="7"/>
  <c r="G33" i="7"/>
  <c r="G25" i="7"/>
  <c r="G17" i="7"/>
  <c r="G9" i="7"/>
  <c r="G56" i="7"/>
  <c r="G48" i="7"/>
  <c r="G40" i="7"/>
  <c r="G32" i="7"/>
  <c r="G16" i="7"/>
  <c r="G63" i="7"/>
  <c r="G55" i="7"/>
  <c r="G47" i="7"/>
  <c r="G39" i="7"/>
  <c r="G31" i="7"/>
  <c r="G23" i="7"/>
  <c r="G15" i="7"/>
  <c r="G7" i="7"/>
  <c r="G13" i="6"/>
  <c r="G29" i="6"/>
  <c r="G45" i="6"/>
  <c r="G61" i="6"/>
  <c r="G12" i="7"/>
  <c r="G28" i="7"/>
  <c r="G44" i="7"/>
  <c r="G60" i="7"/>
  <c r="G63" i="12"/>
  <c r="G55" i="12"/>
  <c r="G47" i="12"/>
  <c r="G39" i="12"/>
  <c r="G31" i="12"/>
  <c r="G23" i="12"/>
  <c r="G15" i="12"/>
  <c r="G7" i="12"/>
  <c r="G56" i="12"/>
  <c r="G46" i="12"/>
  <c r="G37" i="12"/>
  <c r="G28" i="12"/>
  <c r="G19" i="12"/>
  <c r="G10" i="12"/>
  <c r="G54" i="12"/>
  <c r="G45" i="12"/>
  <c r="G36" i="12"/>
  <c r="G27" i="12"/>
  <c r="G18" i="12"/>
  <c r="G9" i="12"/>
  <c r="G62" i="12"/>
  <c r="G53" i="12"/>
  <c r="G44" i="12"/>
  <c r="G35" i="12"/>
  <c r="G26" i="12"/>
  <c r="G17" i="12"/>
  <c r="G8" i="12"/>
  <c r="G61" i="12"/>
  <c r="G52" i="12"/>
  <c r="G43" i="12"/>
  <c r="G34" i="12"/>
  <c r="G25" i="12"/>
  <c r="G16" i="12"/>
  <c r="G6" i="12"/>
  <c r="G60" i="12"/>
  <c r="G51" i="12"/>
  <c r="G42" i="12"/>
  <c r="G33" i="12"/>
  <c r="G24" i="12"/>
  <c r="G14" i="12"/>
  <c r="G57" i="12"/>
  <c r="G48" i="12"/>
  <c r="G38" i="12"/>
  <c r="G29" i="12"/>
  <c r="G20" i="12"/>
  <c r="G11" i="12"/>
  <c r="G18" i="6"/>
  <c r="G34" i="6"/>
  <c r="G50" i="6"/>
  <c r="G13" i="7"/>
  <c r="G29" i="7"/>
  <c r="G45" i="7"/>
  <c r="G61" i="7"/>
  <c r="G59" i="8"/>
  <c r="G51" i="8"/>
  <c r="G43" i="8"/>
  <c r="G35" i="8"/>
  <c r="G27" i="8"/>
  <c r="G19" i="8"/>
  <c r="G11" i="8"/>
  <c r="G25" i="8"/>
  <c r="G58" i="8"/>
  <c r="G50" i="8"/>
  <c r="G42" i="8"/>
  <c r="G34" i="8"/>
  <c r="G26" i="8"/>
  <c r="G18" i="8"/>
  <c r="G10" i="8"/>
  <c r="G57" i="8"/>
  <c r="G49" i="8"/>
  <c r="G41" i="8"/>
  <c r="G33" i="8"/>
  <c r="G17" i="8"/>
  <c r="G9" i="8"/>
  <c r="G56" i="8"/>
  <c r="G48" i="8"/>
  <c r="G40" i="8"/>
  <c r="G32" i="8"/>
  <c r="G24" i="8"/>
  <c r="G16" i="8"/>
  <c r="G8" i="8"/>
  <c r="G62" i="9"/>
  <c r="G54" i="9"/>
  <c r="G46" i="9"/>
  <c r="G38" i="9"/>
  <c r="G55" i="9"/>
  <c r="G45" i="9"/>
  <c r="G36" i="9"/>
  <c r="G28" i="9"/>
  <c r="G20" i="9"/>
  <c r="G12" i="9"/>
  <c r="G63" i="9"/>
  <c r="G53" i="9"/>
  <c r="G44" i="9"/>
  <c r="G35" i="9"/>
  <c r="G27" i="9"/>
  <c r="G19" i="9"/>
  <c r="G11" i="9"/>
  <c r="G61" i="9"/>
  <c r="G52" i="9"/>
  <c r="G43" i="9"/>
  <c r="G34" i="9"/>
  <c r="G26" i="9"/>
  <c r="G18" i="9"/>
  <c r="G10" i="9"/>
  <c r="G60" i="9"/>
  <c r="G51" i="9"/>
  <c r="G42" i="9"/>
  <c r="G33" i="9"/>
  <c r="G25" i="9"/>
  <c r="G17" i="9"/>
  <c r="G9" i="9"/>
  <c r="G13" i="12"/>
  <c r="G50" i="12"/>
  <c r="G19" i="6"/>
  <c r="G35" i="6"/>
  <c r="G51" i="6"/>
  <c r="G14" i="7"/>
  <c r="G30" i="7"/>
  <c r="G46" i="7"/>
  <c r="G62" i="7"/>
  <c r="G12" i="8"/>
  <c r="G28" i="8"/>
  <c r="G44" i="8"/>
  <c r="G60" i="8"/>
  <c r="G6" i="9"/>
  <c r="G22" i="9"/>
  <c r="G39" i="9"/>
  <c r="G57" i="9"/>
  <c r="G21" i="12"/>
  <c r="G58" i="12"/>
  <c r="G31" i="3"/>
  <c r="G41" i="3"/>
  <c r="G20" i="6"/>
  <c r="G36" i="6"/>
  <c r="G52" i="6"/>
  <c r="G19" i="7"/>
  <c r="G35" i="7"/>
  <c r="G51" i="7"/>
  <c r="G13" i="8"/>
  <c r="G29" i="8"/>
  <c r="G45" i="8"/>
  <c r="G61" i="8"/>
  <c r="G7" i="9"/>
  <c r="G23" i="9"/>
  <c r="G40" i="9"/>
  <c r="G58" i="9"/>
  <c r="G22" i="12"/>
  <c r="G59" i="12"/>
  <c r="G62" i="3"/>
  <c r="G54" i="3"/>
  <c r="G46" i="3"/>
  <c r="G38" i="3"/>
  <c r="G30" i="3"/>
  <c r="G22" i="3"/>
  <c r="G14" i="3"/>
  <c r="G6" i="3"/>
  <c r="G61" i="3"/>
  <c r="G53" i="3"/>
  <c r="G45" i="3"/>
  <c r="G37" i="3"/>
  <c r="G29" i="3"/>
  <c r="G21" i="3"/>
  <c r="G13" i="3"/>
  <c r="G59" i="3"/>
  <c r="G51" i="3"/>
  <c r="G43" i="3"/>
  <c r="G56" i="5"/>
  <c r="G48" i="5"/>
  <c r="G40" i="5"/>
  <c r="G32" i="5"/>
  <c r="G24" i="5"/>
  <c r="G16" i="5"/>
  <c r="G8" i="5"/>
  <c r="G63" i="5"/>
  <c r="G55" i="5"/>
  <c r="G47" i="5"/>
  <c r="G39" i="5"/>
  <c r="G31" i="5"/>
  <c r="G23" i="5"/>
  <c r="G15" i="5"/>
  <c r="G7" i="5"/>
  <c r="G61" i="5"/>
  <c r="G53" i="5"/>
  <c r="G45" i="5"/>
  <c r="G37" i="5"/>
  <c r="G29" i="5"/>
  <c r="G21" i="5"/>
  <c r="G13" i="5"/>
  <c r="G21" i="6"/>
  <c r="G37" i="6"/>
  <c r="G53" i="6"/>
  <c r="G20" i="7"/>
  <c r="G36" i="7"/>
  <c r="G52" i="7"/>
  <c r="G14" i="8"/>
  <c r="G30" i="8"/>
  <c r="G46" i="8"/>
  <c r="G62" i="8"/>
  <c r="G8" i="9"/>
  <c r="G24" i="9"/>
  <c r="G41" i="9"/>
  <c r="G59" i="9"/>
  <c r="G30" i="12"/>
  <c r="G47" i="11"/>
  <c r="G57" i="25"/>
  <c r="G49" i="25"/>
  <c r="G41" i="25"/>
  <c r="G33" i="25"/>
  <c r="G25" i="25"/>
  <c r="G17" i="25"/>
  <c r="G9" i="25"/>
  <c r="G59" i="25"/>
  <c r="G50" i="25"/>
  <c r="G40" i="25"/>
  <c r="G31" i="25"/>
  <c r="G22" i="25"/>
  <c r="G13" i="25"/>
  <c r="G58" i="25"/>
  <c r="G48" i="25"/>
  <c r="G39" i="25"/>
  <c r="G30" i="25"/>
  <c r="G21" i="25"/>
  <c r="G12" i="25"/>
  <c r="G56" i="25"/>
  <c r="G47" i="25"/>
  <c r="G38" i="25"/>
  <c r="G29" i="25"/>
  <c r="G20" i="25"/>
  <c r="G11" i="25"/>
  <c r="G55" i="25"/>
  <c r="G46" i="25"/>
  <c r="G37" i="25"/>
  <c r="G28" i="25"/>
  <c r="G19" i="25"/>
  <c r="G10" i="25"/>
  <c r="G63" i="25"/>
  <c r="G54" i="25"/>
  <c r="G45" i="25"/>
  <c r="G36" i="25"/>
  <c r="G27" i="25"/>
  <c r="G18" i="25"/>
  <c r="G8" i="25"/>
  <c r="G61" i="25"/>
  <c r="G52" i="25"/>
  <c r="G43" i="25"/>
  <c r="G34" i="25"/>
  <c r="G24" i="25"/>
  <c r="G15" i="25"/>
  <c r="G6" i="25"/>
  <c r="G59" i="21"/>
  <c r="G51" i="21"/>
  <c r="G43" i="21"/>
  <c r="G35" i="21"/>
  <c r="G27" i="21"/>
  <c r="G19" i="21"/>
  <c r="G11" i="21"/>
  <c r="G58" i="21"/>
  <c r="G50" i="21"/>
  <c r="G42" i="21"/>
  <c r="G34" i="21"/>
  <c r="G26" i="21"/>
  <c r="G18" i="21"/>
  <c r="G10" i="21"/>
  <c r="G57" i="21"/>
  <c r="G49" i="21"/>
  <c r="G41" i="21"/>
  <c r="G33" i="21"/>
  <c r="G25" i="21"/>
  <c r="G17" i="21"/>
  <c r="G9" i="21"/>
  <c r="G56" i="21"/>
  <c r="G48" i="21"/>
  <c r="G40" i="21"/>
  <c r="G32" i="21"/>
  <c r="G24" i="21"/>
  <c r="G16" i="21"/>
  <c r="G8" i="21"/>
  <c r="G63" i="21"/>
  <c r="G55" i="21"/>
  <c r="G47" i="21"/>
  <c r="G39" i="21"/>
  <c r="G31" i="21"/>
  <c r="G23" i="21"/>
  <c r="G15" i="21"/>
  <c r="G7" i="21"/>
  <c r="G14" i="25"/>
  <c r="G51" i="25"/>
  <c r="G62" i="11"/>
  <c r="G54" i="11"/>
  <c r="G46" i="11"/>
  <c r="G38" i="11"/>
  <c r="G30" i="11"/>
  <c r="G22" i="11"/>
  <c r="G14" i="11"/>
  <c r="G6" i="11"/>
  <c r="G14" i="21"/>
  <c r="G37" i="21"/>
  <c r="G60" i="21"/>
  <c r="G23" i="25"/>
  <c r="G60" i="25"/>
  <c r="G63" i="10"/>
  <c r="G55" i="10"/>
  <c r="G47" i="10"/>
  <c r="G39" i="10"/>
  <c r="G31" i="10"/>
  <c r="G23" i="10"/>
  <c r="G15" i="10"/>
  <c r="G7" i="10"/>
  <c r="G15" i="11"/>
  <c r="G24" i="11"/>
  <c r="G33" i="11"/>
  <c r="G42" i="11"/>
  <c r="G51" i="11"/>
  <c r="G60" i="11"/>
  <c r="G65" i="13"/>
  <c r="G56" i="13"/>
  <c r="G48" i="13"/>
  <c r="G40" i="13"/>
  <c r="G32" i="13"/>
  <c r="G24" i="13"/>
  <c r="G16" i="13"/>
  <c r="G8" i="13"/>
  <c r="G8" i="17"/>
  <c r="G22" i="17"/>
  <c r="G33" i="17"/>
  <c r="G47" i="17"/>
  <c r="G20" i="21"/>
  <c r="G38" i="21"/>
  <c r="G61" i="21"/>
  <c r="G26" i="25"/>
  <c r="G62" i="25"/>
  <c r="G7" i="11"/>
  <c r="G16" i="11"/>
  <c r="G25" i="11"/>
  <c r="G34" i="11"/>
  <c r="G43" i="11"/>
  <c r="G52" i="11"/>
  <c r="G61" i="11"/>
  <c r="G60" i="17"/>
  <c r="G52" i="17"/>
  <c r="G44" i="17"/>
  <c r="G36" i="17"/>
  <c r="G28" i="17"/>
  <c r="G20" i="17"/>
  <c r="G12" i="17"/>
  <c r="G68" i="17"/>
  <c r="G59" i="17"/>
  <c r="G51" i="17"/>
  <c r="G43" i="17"/>
  <c r="G35" i="17"/>
  <c r="G27" i="17"/>
  <c r="G19" i="17"/>
  <c r="G11" i="17"/>
  <c r="G67" i="17"/>
  <c r="G58" i="17"/>
  <c r="G50" i="17"/>
  <c r="G42" i="17"/>
  <c r="G34" i="17"/>
  <c r="G26" i="17"/>
  <c r="G18" i="17"/>
  <c r="G10" i="17"/>
  <c r="G21" i="21"/>
  <c r="G44" i="21"/>
  <c r="G62" i="21"/>
  <c r="G32" i="25"/>
  <c r="G6" i="4"/>
  <c r="G14" i="4"/>
  <c r="G22" i="4"/>
  <c r="G30" i="4"/>
  <c r="G38" i="4"/>
  <c r="G46" i="4"/>
  <c r="G54" i="4"/>
  <c r="G62" i="4"/>
  <c r="G9" i="10"/>
  <c r="G18" i="10"/>
  <c r="G27" i="10"/>
  <c r="G36" i="10"/>
  <c r="G45" i="10"/>
  <c r="G54" i="10"/>
  <c r="G65" i="10"/>
  <c r="G8" i="11"/>
  <c r="G17" i="11"/>
  <c r="G26" i="11"/>
  <c r="G35" i="11"/>
  <c r="G44" i="11"/>
  <c r="G53" i="11"/>
  <c r="G63" i="11"/>
  <c r="G10" i="13"/>
  <c r="G19" i="13"/>
  <c r="G28" i="13"/>
  <c r="G37" i="13"/>
  <c r="G46" i="13"/>
  <c r="G55" i="13"/>
  <c r="G66" i="13"/>
  <c r="G13" i="17"/>
  <c r="G24" i="17"/>
  <c r="G38" i="17"/>
  <c r="G49" i="17"/>
  <c r="G63" i="17"/>
  <c r="G11" i="20"/>
  <c r="G29" i="20"/>
  <c r="G22" i="21"/>
  <c r="G45" i="21"/>
  <c r="G63" i="23"/>
  <c r="G55" i="23"/>
  <c r="G47" i="23"/>
  <c r="G39" i="23"/>
  <c r="G31" i="23"/>
  <c r="G23" i="23"/>
  <c r="G15" i="23"/>
  <c r="G7" i="23"/>
  <c r="G58" i="23"/>
  <c r="G49" i="23"/>
  <c r="G40" i="23"/>
  <c r="G30" i="23"/>
  <c r="G21" i="23"/>
  <c r="G12" i="23"/>
  <c r="G57" i="23"/>
  <c r="G48" i="23"/>
  <c r="G38" i="23"/>
  <c r="G29" i="23"/>
  <c r="G20" i="23"/>
  <c r="G11" i="23"/>
  <c r="G56" i="23"/>
  <c r="G46" i="23"/>
  <c r="G37" i="23"/>
  <c r="G28" i="23"/>
  <c r="G19" i="23"/>
  <c r="G10" i="23"/>
  <c r="G54" i="23"/>
  <c r="G45" i="23"/>
  <c r="G36" i="23"/>
  <c r="G27" i="23"/>
  <c r="G18" i="23"/>
  <c r="G9" i="23"/>
  <c r="G62" i="23"/>
  <c r="G53" i="23"/>
  <c r="G44" i="23"/>
  <c r="G35" i="23"/>
  <c r="G26" i="23"/>
  <c r="G17" i="23"/>
  <c r="G8" i="23"/>
  <c r="G60" i="23"/>
  <c r="G51" i="23"/>
  <c r="G42" i="23"/>
  <c r="G33" i="23"/>
  <c r="G24" i="23"/>
  <c r="G14" i="23"/>
  <c r="G35" i="25"/>
  <c r="G7" i="4"/>
  <c r="G15" i="4"/>
  <c r="G23" i="4"/>
  <c r="G31" i="4"/>
  <c r="G39" i="4"/>
  <c r="G47" i="4"/>
  <c r="G55" i="4"/>
  <c r="G10" i="10"/>
  <c r="G19" i="10"/>
  <c r="G28" i="10"/>
  <c r="G37" i="10"/>
  <c r="G46" i="10"/>
  <c r="G56" i="10"/>
  <c r="G66" i="10"/>
  <c r="G9" i="11"/>
  <c r="G18" i="11"/>
  <c r="G27" i="11"/>
  <c r="G36" i="11"/>
  <c r="G45" i="11"/>
  <c r="G55" i="11"/>
  <c r="G11" i="13"/>
  <c r="G20" i="13"/>
  <c r="G29" i="13"/>
  <c r="G38" i="13"/>
  <c r="G47" i="13"/>
  <c r="G57" i="13"/>
  <c r="G67" i="13"/>
  <c r="G14" i="17"/>
  <c r="G25" i="17"/>
  <c r="G39" i="17"/>
  <c r="G53" i="17"/>
  <c r="G65" i="17"/>
  <c r="G58" i="20"/>
  <c r="G50" i="20"/>
  <c r="G42" i="20"/>
  <c r="G34" i="20"/>
  <c r="G26" i="20"/>
  <c r="G18" i="20"/>
  <c r="G10" i="20"/>
  <c r="G57" i="20"/>
  <c r="G49" i="20"/>
  <c r="G41" i="20"/>
  <c r="G33" i="20"/>
  <c r="G25" i="20"/>
  <c r="G17" i="20"/>
  <c r="G9" i="20"/>
  <c r="G56" i="20"/>
  <c r="G48" i="20"/>
  <c r="G40" i="20"/>
  <c r="G32" i="20"/>
  <c r="G24" i="20"/>
  <c r="G16" i="20"/>
  <c r="G8" i="20"/>
  <c r="G63" i="20"/>
  <c r="G55" i="20"/>
  <c r="G47" i="20"/>
  <c r="G39" i="20"/>
  <c r="G31" i="20"/>
  <c r="G23" i="20"/>
  <c r="G15" i="20"/>
  <c r="G7" i="20"/>
  <c r="G62" i="20"/>
  <c r="G54" i="20"/>
  <c r="G46" i="20"/>
  <c r="G38" i="20"/>
  <c r="G30" i="20"/>
  <c r="G22" i="20"/>
  <c r="G14" i="20"/>
  <c r="G6" i="20"/>
  <c r="G28" i="21"/>
  <c r="G46" i="21"/>
  <c r="G56" i="24"/>
  <c r="G48" i="24"/>
  <c r="G40" i="24"/>
  <c r="G32" i="24"/>
  <c r="G24" i="24"/>
  <c r="G16" i="24"/>
  <c r="G8" i="24"/>
  <c r="G59" i="24"/>
  <c r="G50" i="24"/>
  <c r="G41" i="24"/>
  <c r="G31" i="24"/>
  <c r="G22" i="24"/>
  <c r="G13" i="24"/>
  <c r="G58" i="24"/>
  <c r="G49" i="24"/>
  <c r="G39" i="24"/>
  <c r="G30" i="24"/>
  <c r="G21" i="24"/>
  <c r="G12" i="24"/>
  <c r="G57" i="24"/>
  <c r="G47" i="24"/>
  <c r="G38" i="24"/>
  <c r="G29" i="24"/>
  <c r="G20" i="24"/>
  <c r="G11" i="24"/>
  <c r="G55" i="24"/>
  <c r="G46" i="24"/>
  <c r="G37" i="24"/>
  <c r="G28" i="24"/>
  <c r="G19" i="24"/>
  <c r="G10" i="24"/>
  <c r="G63" i="24"/>
  <c r="G54" i="24"/>
  <c r="G45" i="24"/>
  <c r="G36" i="24"/>
  <c r="G27" i="24"/>
  <c r="G18" i="24"/>
  <c r="G9" i="24"/>
  <c r="G61" i="24"/>
  <c r="G52" i="24"/>
  <c r="G43" i="24"/>
  <c r="G34" i="24"/>
  <c r="G25" i="24"/>
  <c r="G15" i="24"/>
  <c r="G6" i="24"/>
  <c r="G42" i="25"/>
  <c r="G58" i="26"/>
  <c r="G50" i="26"/>
  <c r="G42" i="26"/>
  <c r="G34" i="26"/>
  <c r="G26" i="26"/>
  <c r="G18" i="26"/>
  <c r="G10" i="26"/>
  <c r="G57" i="26"/>
  <c r="G49" i="26"/>
  <c r="G41" i="26"/>
  <c r="G33" i="26"/>
  <c r="G25" i="26"/>
  <c r="G17" i="26"/>
  <c r="G9" i="26"/>
  <c r="G59" i="27"/>
  <c r="G51" i="27"/>
  <c r="G43" i="27"/>
  <c r="G35" i="27"/>
  <c r="G27" i="27"/>
  <c r="G19" i="27"/>
  <c r="G11" i="27"/>
  <c r="G58" i="27"/>
  <c r="G50" i="27"/>
  <c r="G42" i="27"/>
  <c r="G34" i="27"/>
  <c r="G26" i="27"/>
  <c r="G18" i="27"/>
  <c r="G10" i="27"/>
  <c r="G8" i="22"/>
  <c r="G16" i="22"/>
  <c r="G24" i="22"/>
  <c r="G32" i="22"/>
  <c r="G40" i="22"/>
  <c r="G48" i="22"/>
  <c r="G56" i="22"/>
  <c r="G65" i="22"/>
  <c r="G9" i="22"/>
  <c r="G17" i="22"/>
  <c r="G25" i="22"/>
  <c r="G33" i="22"/>
  <c r="G41" i="22"/>
  <c r="G49" i="22"/>
  <c r="G57" i="22"/>
  <c r="G67" i="22"/>
  <c r="G63" i="26"/>
  <c r="G10" i="22"/>
  <c r="G18" i="22"/>
  <c r="G26" i="22"/>
  <c r="G34" i="22"/>
  <c r="G42" i="22"/>
  <c r="G50" i="22"/>
  <c r="G58" i="22"/>
  <c r="G12" i="26"/>
  <c r="G22" i="26"/>
  <c r="G32" i="26"/>
  <c r="G44" i="26"/>
  <c r="G54" i="26"/>
  <c r="G9" i="27"/>
  <c r="G21" i="27"/>
  <c r="G31" i="27"/>
  <c r="G41" i="27"/>
  <c r="G53" i="27"/>
  <c r="G63" i="27"/>
  <c r="G11" i="22"/>
  <c r="G19" i="22"/>
  <c r="G27" i="22"/>
  <c r="G35" i="22"/>
  <c r="G43" i="22"/>
  <c r="G51" i="22"/>
  <c r="G59" i="22"/>
  <c r="G13" i="26"/>
  <c r="G23" i="26"/>
  <c r="G35" i="26"/>
  <c r="G45" i="26"/>
  <c r="G55" i="26"/>
  <c r="G12" i="27"/>
  <c r="G22" i="27"/>
  <c r="G32" i="27"/>
  <c r="G44" i="27"/>
  <c r="G54" i="27"/>
  <c r="G12" i="22"/>
  <c r="G20" i="22"/>
  <c r="G28" i="22"/>
  <c r="G36" i="22"/>
  <c r="G44" i="22"/>
  <c r="G52" i="22"/>
  <c r="G60" i="22"/>
  <c r="G14" i="26"/>
  <c r="G24" i="26"/>
  <c r="G36" i="26"/>
  <c r="G46" i="26"/>
  <c r="G56" i="26"/>
  <c r="G13" i="27"/>
  <c r="G23" i="27"/>
  <c r="G33" i="27"/>
  <c r="G45" i="27"/>
  <c r="G55" i="27"/>
  <c r="G9" i="35"/>
  <c r="G17" i="35"/>
  <c r="G25" i="35"/>
  <c r="G33" i="35"/>
  <c r="G41" i="35"/>
  <c r="G49" i="35"/>
  <c r="G57" i="35"/>
  <c r="G66" i="35"/>
  <c r="G10" i="35"/>
  <c r="G18" i="35"/>
  <c r="G26" i="35"/>
  <c r="G34" i="35"/>
  <c r="G42" i="35"/>
  <c r="G50" i="35"/>
  <c r="G58" i="35"/>
  <c r="G67" i="35"/>
  <c r="G13" i="34"/>
  <c r="G21" i="34"/>
  <c r="G29" i="34"/>
  <c r="G37" i="34"/>
  <c r="G45" i="34"/>
  <c r="G53" i="34"/>
  <c r="G61" i="34"/>
  <c r="G12" i="35"/>
  <c r="G20" i="35"/>
  <c r="G28" i="35"/>
  <c r="G36" i="35"/>
  <c r="G44" i="35"/>
  <c r="G52" i="35"/>
  <c r="G60" i="35"/>
  <c r="G13" i="35"/>
  <c r="G21" i="35"/>
  <c r="G29" i="35"/>
  <c r="G37" i="35"/>
  <c r="G45" i="35"/>
  <c r="G53" i="35"/>
  <c r="G61" i="35"/>
  <c r="G7" i="34"/>
  <c r="G15" i="34"/>
  <c r="G23" i="34"/>
  <c r="G31" i="34"/>
  <c r="G39" i="34"/>
  <c r="G47" i="34"/>
  <c r="G55" i="34"/>
  <c r="G63" i="34"/>
  <c r="G6" i="35"/>
  <c r="G14" i="35"/>
  <c r="G22" i="35"/>
  <c r="G30" i="35"/>
  <c r="G38" i="35"/>
  <c r="G46" i="35"/>
  <c r="G54" i="35"/>
  <c r="G62" i="35"/>
  <c r="G13" i="29"/>
  <c r="G21" i="29"/>
  <c r="G29" i="29"/>
  <c r="G37" i="29"/>
  <c r="G45" i="29"/>
  <c r="G53" i="29"/>
  <c r="G13" i="31"/>
  <c r="G21" i="31"/>
  <c r="G29" i="31"/>
  <c r="G37" i="31"/>
  <c r="G45" i="31"/>
  <c r="G53" i="31"/>
  <c r="G8" i="34"/>
  <c r="G16" i="34"/>
  <c r="G24" i="34"/>
  <c r="G32" i="34"/>
  <c r="G40" i="34"/>
  <c r="G48" i="34"/>
  <c r="G56" i="34"/>
  <c r="G7" i="35"/>
  <c r="G15" i="35"/>
  <c r="G23" i="35"/>
  <c r="G31" i="35"/>
  <c r="G39" i="35"/>
  <c r="G47" i="35"/>
  <c r="G55" i="35"/>
</calcChain>
</file>

<file path=xl/sharedStrings.xml><?xml version="1.0" encoding="utf-8"?>
<sst xmlns="http://schemas.openxmlformats.org/spreadsheetml/2006/main" count="3012" uniqueCount="456">
  <si>
    <t>Table of Contents</t>
  </si>
  <si>
    <t>Table Number</t>
  </si>
  <si>
    <t>Agency and Bureau</t>
  </si>
  <si>
    <t>Program Name</t>
  </si>
  <si>
    <t>CFDA Number</t>
  </si>
  <si>
    <t>17-5</t>
  </si>
  <si>
    <t>School Breakfast Program</t>
  </si>
  <si>
    <t>17-6</t>
  </si>
  <si>
    <t>National School Lunch Program</t>
  </si>
  <si>
    <t>17-7</t>
  </si>
  <si>
    <t>Special Supplemental Nutrition Program for Women, Infants, and Children</t>
  </si>
  <si>
    <t>17-8</t>
  </si>
  <si>
    <t>Child and Adult Care Food Program</t>
  </si>
  <si>
    <t>17-9</t>
  </si>
  <si>
    <t>State Administrative Matching Grants for the Supplemental Nutrition Assistance Program (Food Stamps)</t>
  </si>
  <si>
    <t>17-10</t>
  </si>
  <si>
    <t>Title I Grants to Local Educational Agencies</t>
  </si>
  <si>
    <t>17-11</t>
  </si>
  <si>
    <t>Supporting Effective Instruction State Grants</t>
  </si>
  <si>
    <t>17-12</t>
  </si>
  <si>
    <t>Vocational Rehabilitation State Grants</t>
  </si>
  <si>
    <t>17-13</t>
  </si>
  <si>
    <t>Special Education-Grants to States</t>
  </si>
  <si>
    <t>17-14</t>
  </si>
  <si>
    <t>Temporary Assistance for Needy Families (TANF) - Family Assistance Grants (93.558)</t>
  </si>
  <si>
    <t>17-15</t>
  </si>
  <si>
    <t>Child Support Enforcement - Federal Share of State and Local Administrative Costs and Incentives (93.563)</t>
  </si>
  <si>
    <t>17-16</t>
  </si>
  <si>
    <t>Low Income Home Energy Assistance Program (93.568)</t>
  </si>
  <si>
    <t>17-17</t>
  </si>
  <si>
    <t xml:space="preserve"> Child Care and Development Block Grant (93.575)</t>
  </si>
  <si>
    <t>17-18</t>
  </si>
  <si>
    <t>Child Care and Development Fund - Mandatory (93.596a)</t>
  </si>
  <si>
    <t>93.596A</t>
  </si>
  <si>
    <t>17-19</t>
  </si>
  <si>
    <t>Child Care and Development Fund - Matching (93.596b)</t>
  </si>
  <si>
    <t>93.596B</t>
  </si>
  <si>
    <t>17-20</t>
  </si>
  <si>
    <t>Head Start (93.600)</t>
  </si>
  <si>
    <t>17-21</t>
  </si>
  <si>
    <t>Foster Care - Title IV-E (93.658)</t>
  </si>
  <si>
    <t>17-22</t>
  </si>
  <si>
    <t>Adoption Assistance (93.659)</t>
  </si>
  <si>
    <t>17-23</t>
  </si>
  <si>
    <t>Social Services Block Grant (93.667)</t>
  </si>
  <si>
    <t>17-24</t>
  </si>
  <si>
    <t>Children's Health Insurance Program (93.767)</t>
  </si>
  <si>
    <t>17-25</t>
  </si>
  <si>
    <t>Grants to States for Medicaid (93.778)</t>
  </si>
  <si>
    <t>17-26</t>
  </si>
  <si>
    <t>Ryan White HIV/AIDS Treatment Modernization Act - Part B HIV Care Grants (93.917)</t>
  </si>
  <si>
    <t>17-27</t>
  </si>
  <si>
    <t>Preparedness Grants</t>
  </si>
  <si>
    <t>97.067 et al</t>
  </si>
  <si>
    <t>17-28</t>
  </si>
  <si>
    <t>Community Development Block Grant</t>
  </si>
  <si>
    <t>14.218; 14.225; 14.228; 14.862</t>
  </si>
  <si>
    <t>17-29</t>
  </si>
  <si>
    <t>Community Development Block Grant - Disaster Recovery</t>
  </si>
  <si>
    <t>14.218; 14.228; 14.269</t>
  </si>
  <si>
    <t>17-30</t>
  </si>
  <si>
    <t>Section 8 Housing Choice Vouchers (14.871)</t>
  </si>
  <si>
    <t>17-31</t>
  </si>
  <si>
    <t>Public Housing Operating Fund (14.850)</t>
  </si>
  <si>
    <t>17-32</t>
  </si>
  <si>
    <t>Public Housing Capital Fund (14.872)</t>
  </si>
  <si>
    <t>17-33</t>
  </si>
  <si>
    <t>Unemployment Insurance (17.225)</t>
  </si>
  <si>
    <t>17-34</t>
  </si>
  <si>
    <t>Airport Improvement Program (20.106)</t>
  </si>
  <si>
    <t>17-35</t>
  </si>
  <si>
    <t>Highway Planning and Construction (20.205)</t>
  </si>
  <si>
    <t>17-36</t>
  </si>
  <si>
    <t>Federal Transit Formula Grants Program (20.507)</t>
  </si>
  <si>
    <t>17-37</t>
  </si>
  <si>
    <t>Capitalization Grant for Clean Water State Revolving Funds (66.458)</t>
  </si>
  <si>
    <t>17-38</t>
  </si>
  <si>
    <t>Capitalization Grant for Drinking Water State Revolving Fund (66.468)</t>
  </si>
  <si>
    <t>17-39</t>
  </si>
  <si>
    <t>Federal Communications Commission</t>
  </si>
  <si>
    <t>Universal Service Fund E-Rate</t>
  </si>
  <si>
    <t/>
  </si>
  <si>
    <t>Department of Agriculture, Food and Nutrituion Service</t>
  </si>
  <si>
    <t>12-3539-0-1-605</t>
  </si>
  <si>
    <t>Table 17-5. School Breakfast Program (10.553)</t>
  </si>
  <si>
    <t>(Obligations in thousands of dollars)</t>
  </si>
  <si>
    <t>State or Territory</t>
  </si>
  <si>
    <t>FY 2018 Actual</t>
  </si>
  <si>
    <t>Estimated FY 2019 obligations from:</t>
  </si>
  <si>
    <t>FY 2020 (estimated)</t>
  </si>
  <si>
    <t>FY 2020 Percentage of distributed total</t>
  </si>
  <si>
    <t>Previous authority</t>
  </si>
  <si>
    <t>New Authority</t>
  </si>
  <si>
    <t>Total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</si>
  <si>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</si>
  <si>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</si>
  <si>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</si>
  <si>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</si>
  <si>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</si>
  <si>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</si>
  <si>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</si>
  <si>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</si>
  <si>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</si>
  <si>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</si>
  <si>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</si>
  <si>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</si>
  <si>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</si>
  <si>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</si>
  <si>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</si>
  <si>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</si>
  <si>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</si>
  <si>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</si>
  <si>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</si>
  <si>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</si>
  <si>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</si>
  <si>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</si>
  <si>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</si>
  <si>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</si>
  <si>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</si>
  <si>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</si>
  <si>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</si>
  <si>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</si>
  <si>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</si>
  <si>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</si>
  <si>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</si>
  <si>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</si>
  <si>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</si>
  <si>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</si>
  <si>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</si>
  <si>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</si>
  <si>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</si>
  <si>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</si>
  <si>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</si>
  <si>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</si>
  <si>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</si>
  <si>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</si>
  <si>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</si>
  <si>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</si>
  <si>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</si>
  <si>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</si>
  <si>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</si>
  <si>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</si>
  <si>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</si>
  <si>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</si>
  <si>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</si>
  <si>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</si>
  <si>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</si>
  <si>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</si>
  <si>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</si>
  <si>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Freely Associated States</t>
  </si>
  <si>
    <t>Virgin Islands</t>
  </si>
  <si>
    <t>Indian Tribes</t>
  </si>
  <si>
    <t>Undistributed</t>
  </si>
  <si>
    <r>
      <t>1</t>
    </r>
    <r>
      <rPr>
        <b/>
        <sz val="10"/>
        <rFont val="Arial Narrow"/>
        <family val="2"/>
      </rPr>
      <t xml:space="preserve"> 100.00</t>
    </r>
  </si>
  <si>
    <t>* $500 or less or 0.005 percent or less.</t>
  </si>
  <si>
    <r>
      <t>1</t>
    </r>
    <r>
      <rPr>
        <sz val="10"/>
        <rFont val="Arial Narrow"/>
        <family val="2"/>
      </rPr>
      <t xml:space="preserve"> Excludes undistributed obligations.</t>
    </r>
  </si>
  <si>
    <t>Table 17-6. National School Lunch Program (10.555)</t>
  </si>
  <si>
    <t>12-3510-0-1-605</t>
  </si>
  <si>
    <t>Table 17-7. Special Supplemental Nutrition Program for Women, Infants, and Children (WIC) (10.557)</t>
  </si>
  <si>
    <t>Table 17-8. Child and Adult Care Food Program (10.558)</t>
  </si>
  <si>
    <t>12-3505-0-1-605</t>
  </si>
  <si>
    <t>Table 17-9. State Administrative Matching Grants for the Supplemental Nutrition Assistance Program (Food Stamps) (10.561)</t>
  </si>
  <si>
    <t>Department of Education, Office of Elementary and Seconfary Education</t>
  </si>
  <si>
    <t>91-0900-0-1-501</t>
  </si>
  <si>
    <t>Table 17-10. Title I Grants to Local Educational Agencies (84.010)</t>
  </si>
  <si>
    <t>91-1000-0-1-501</t>
  </si>
  <si>
    <t>Table 17-11. Supporting Effective Instruction State Grants (formerly Improving Teacher Quality State Grants) (84.367)</t>
  </si>
  <si>
    <t>......</t>
  </si>
  <si>
    <t>Department of Education, Office of Special Education and Rehabilitative Services</t>
  </si>
  <si>
    <t>91-0301-0-1-506</t>
  </si>
  <si>
    <t>Table 17-12. Vocational Rehabilitation Grants (84.126)</t>
  </si>
  <si>
    <t>91-0300-0-1-501</t>
  </si>
  <si>
    <t>Table 17-13. Special Education-Grants to States (84.027)</t>
  </si>
  <si>
    <t>Other</t>
  </si>
  <si>
    <t>Department of the Interior</t>
  </si>
  <si>
    <t>Department of Health and Human Services, Administration for Children and Families</t>
  </si>
  <si>
    <t>75-1552-0-1-609</t>
  </si>
  <si>
    <t>Table 17-14. Temporary Assistance for Needy Families (TANF)-Family Assistance Grants (93.558)</t>
  </si>
  <si>
    <t>Federated States of Micronesia</t>
  </si>
  <si>
    <t>75-1501-0-1-609</t>
  </si>
  <si>
    <t>Table 17-15. Child Support Enforcement-Federal Share of State and Local Administrative Costs and Incentives (93.563)</t>
  </si>
  <si>
    <t>75-1502-0-1-609</t>
  </si>
  <si>
    <t>Table 17-16. Low Income Home Energy Assistance Program (93.568)</t>
  </si>
  <si>
    <t>Training and Technical Assistance</t>
  </si>
  <si>
    <t>75-1515-0-1-609</t>
  </si>
  <si>
    <t>Table 17-17. Child Care and Development Block Grant (93.575)</t>
  </si>
  <si>
    <t>Discretionary Funds</t>
  </si>
  <si>
    <t>75-1550-0-1-609</t>
  </si>
  <si>
    <t>Table 17-18. Child Care and Development Fund-Mandatory (93.596A)</t>
  </si>
  <si>
    <t>Table 17-19. Child Care and Development Fund-Matching (93.596B)</t>
  </si>
  <si>
    <t>75-1536-0-1-506</t>
  </si>
  <si>
    <t>Table 17-20. Head Start (93.600)</t>
  </si>
  <si>
    <t>Migrant Program</t>
  </si>
  <si>
    <r>
      <t>3</t>
    </r>
    <r>
      <rPr>
        <b/>
        <sz val="10"/>
        <rFont val="Arial Narrow"/>
        <family val="2"/>
      </rPr>
      <t xml:space="preserve"> 100.00</t>
    </r>
  </si>
  <si>
    <r>
      <t>1</t>
    </r>
    <r>
      <rPr>
        <sz val="10"/>
        <rFont val="Arial Narrow"/>
        <family val="2"/>
      </rPr>
      <t xml:space="preserve"> The FY 2018 discretionary total includes funding carried over from FY 2017.</t>
    </r>
  </si>
  <si>
    <r>
      <t>2</t>
    </r>
    <r>
      <rPr>
        <sz val="10"/>
        <rFont val="Arial Narrow"/>
        <family val="2"/>
      </rPr>
      <t xml:space="preserve"> The discretionary funds for FY 2019 and FY 2020 include funding for the third round of Early Head Start – Child Care Partnership grants.  This grant funding is available until March 31, 2019 and therefore the split between the States it not yet available.</t>
    </r>
  </si>
  <si>
    <r>
      <t>3</t>
    </r>
    <r>
      <rPr>
        <sz val="10"/>
        <rFont val="Arial Narrow"/>
        <family val="2"/>
      </rPr>
      <t xml:space="preserve"> Excludes undistributed obligations.</t>
    </r>
  </si>
  <si>
    <t>75-1545-0-1-609</t>
  </si>
  <si>
    <t>Table 17-21. Foster Care-Title IV-E (93.658)</t>
  </si>
  <si>
    <t>Table 17-22. Adoption Assistance (93.659)</t>
  </si>
  <si>
    <t>75.1534-0-1-506</t>
  </si>
  <si>
    <t>Table 17-23. Social Services Block Grant (93.667)</t>
  </si>
  <si>
    <t>Department of Health and Human Services, Centers for Medicare and Medicaid Services</t>
  </si>
  <si>
    <t>75-0515-0-1-551</t>
  </si>
  <si>
    <t>Table 17-24. Children's Health Insurance Program (93.767)</t>
  </si>
  <si>
    <t>75-0512-0-1-551</t>
  </si>
  <si>
    <t>Table 17-25. Grants to States for Medicaid (93.778)</t>
  </si>
  <si>
    <r>
      <t>1</t>
    </r>
    <r>
      <rPr>
        <sz val="10"/>
        <rFont val="Arial Narrow"/>
        <family val="2"/>
      </rPr>
      <t xml:space="preserve"> 18,426</t>
    </r>
  </si>
  <si>
    <r>
      <t>1</t>
    </r>
    <r>
      <rPr>
        <sz val="10"/>
        <rFont val="Arial Narrow"/>
        <family val="2"/>
      </rPr>
      <t xml:space="preserve"> 42,406</t>
    </r>
  </si>
  <si>
    <r>
      <t>1</t>
    </r>
    <r>
      <rPr>
        <sz val="10"/>
        <rFont val="Arial Narrow"/>
        <family val="2"/>
      </rPr>
      <t xml:space="preserve"> 6,700</t>
    </r>
  </si>
  <si>
    <r>
      <t>1</t>
    </r>
    <r>
      <rPr>
        <sz val="10"/>
        <rFont val="Arial Narrow"/>
        <family val="2"/>
      </rPr>
      <t xml:space="preserve"> 366,700</t>
    </r>
  </si>
  <si>
    <r>
      <t>1</t>
    </r>
    <r>
      <rPr>
        <sz val="10"/>
        <rFont val="Arial Narrow"/>
        <family val="2"/>
      </rPr>
      <t xml:space="preserve"> 43,265</t>
    </r>
  </si>
  <si>
    <t>Survey &amp; Certification</t>
  </si>
  <si>
    <t>Fraud Control Units</t>
  </si>
  <si>
    <t>Vaccines For Children</t>
  </si>
  <si>
    <r>
      <t>2</t>
    </r>
    <r>
      <rPr>
        <b/>
        <sz val="10"/>
        <rFont val="Arial Narrow"/>
        <family val="2"/>
      </rPr>
      <t xml:space="preserve"> 100.00</t>
    </r>
  </si>
  <si>
    <r>
      <t>2</t>
    </r>
    <r>
      <rPr>
        <sz val="10"/>
        <rFont val="Arial Narrow"/>
        <family val="2"/>
      </rPr>
      <t xml:space="preserve"> Excludes undistributed obligations.</t>
    </r>
  </si>
  <si>
    <t>Department of Health and Human Services, Health Resources and Services Administration</t>
  </si>
  <si>
    <t>75-0350-0-1-550</t>
  </si>
  <si>
    <t>Table 17-26. Ryan White HIV/AIDS Treatment Modernization Act-Part B HIV Care Grants (93.917)</t>
  </si>
  <si>
    <r>
      <t>1</t>
    </r>
    <r>
      <rPr>
        <sz val="10"/>
        <rFont val="Arial Narrow"/>
        <family val="2"/>
      </rPr>
      <t xml:space="preserve"> 1,312,486</t>
    </r>
  </si>
  <si>
    <r>
      <t>2</t>
    </r>
    <r>
      <rPr>
        <sz val="10"/>
        <rFont val="Arial Narrow"/>
        <family val="2"/>
      </rPr>
      <t xml:space="preserve"> 1,315,005</t>
    </r>
  </si>
  <si>
    <r>
      <t>1</t>
    </r>
    <r>
      <rPr>
        <sz val="10"/>
        <rFont val="Arial Narrow"/>
        <family val="2"/>
      </rPr>
      <t xml:space="preserve"> FY 2019 data for each State and territory is not available.</t>
    </r>
  </si>
  <si>
    <r>
      <t>2</t>
    </r>
    <r>
      <rPr>
        <sz val="10"/>
        <rFont val="Arial Narrow"/>
        <family val="2"/>
      </rPr>
      <t xml:space="preserve"> FY 2020 data for each State and territory is not available.</t>
    </r>
  </si>
  <si>
    <t>Department of Homeland Security, Federal Emergency Management Agency</t>
  </si>
  <si>
    <t>70-0413-0-1-999 et al</t>
  </si>
  <si>
    <t>Table 17-27. FEMA Preparedness Grants (97.067 et al)</t>
  </si>
  <si>
    <r>
      <t>1</t>
    </r>
    <r>
      <rPr>
        <sz val="10"/>
        <rFont val="Arial Narrow"/>
        <family val="2"/>
      </rPr>
      <t xml:space="preserve"> 24,097</t>
    </r>
  </si>
  <si>
    <r>
      <t>1</t>
    </r>
    <r>
      <rPr>
        <sz val="10"/>
        <rFont val="Arial Narrow"/>
        <family val="2"/>
      </rPr>
      <t xml:space="preserve"> 7,601</t>
    </r>
  </si>
  <si>
    <r>
      <t>1</t>
    </r>
    <r>
      <rPr>
        <sz val="10"/>
        <rFont val="Arial Narrow"/>
        <family val="2"/>
      </rPr>
      <t xml:space="preserve"> 38,517</t>
    </r>
  </si>
  <si>
    <r>
      <t>1</t>
    </r>
    <r>
      <rPr>
        <sz val="10"/>
        <rFont val="Arial Narrow"/>
        <family val="2"/>
      </rPr>
      <t xml:space="preserve"> 9,749</t>
    </r>
  </si>
  <si>
    <r>
      <t>1</t>
    </r>
    <r>
      <rPr>
        <sz val="10"/>
        <rFont val="Arial Narrow"/>
        <family val="2"/>
      </rPr>
      <t xml:space="preserve"> 236,875</t>
    </r>
  </si>
  <si>
    <r>
      <t>1</t>
    </r>
    <r>
      <rPr>
        <sz val="10"/>
        <rFont val="Arial Narrow"/>
        <family val="2"/>
      </rPr>
      <t xml:space="preserve"> 15,321</t>
    </r>
  </si>
  <si>
    <r>
      <t>1</t>
    </r>
    <r>
      <rPr>
        <sz val="10"/>
        <rFont val="Arial Narrow"/>
        <family val="2"/>
      </rPr>
      <t xml:space="preserve"> 14,361</t>
    </r>
  </si>
  <si>
    <r>
      <t>1</t>
    </r>
    <r>
      <rPr>
        <sz val="10"/>
        <rFont val="Arial Narrow"/>
        <family val="2"/>
      </rPr>
      <t xml:space="preserve"> 9,179</t>
    </r>
  </si>
  <si>
    <r>
      <t>2</t>
    </r>
    <r>
      <rPr>
        <sz val="10"/>
        <rFont val="Arial Narrow"/>
        <family val="2"/>
      </rPr>
      <t xml:space="preserve"> 59,797</t>
    </r>
  </si>
  <si>
    <r>
      <t>1</t>
    </r>
    <r>
      <rPr>
        <sz val="10"/>
        <rFont val="Arial Narrow"/>
        <family val="2"/>
      </rPr>
      <t xml:space="preserve"> 45,342</t>
    </r>
  </si>
  <si>
    <r>
      <t>1</t>
    </r>
    <r>
      <rPr>
        <sz val="10"/>
        <rFont val="Arial Narrow"/>
        <family val="2"/>
      </rPr>
      <t xml:space="preserve"> 24,805</t>
    </r>
  </si>
  <si>
    <r>
      <t>1</t>
    </r>
    <r>
      <rPr>
        <sz val="10"/>
        <rFont val="Arial Narrow"/>
        <family val="2"/>
      </rPr>
      <t xml:space="preserve"> 9,072</t>
    </r>
  </si>
  <si>
    <r>
      <t>1</t>
    </r>
    <r>
      <rPr>
        <sz val="10"/>
        <rFont val="Arial Narrow"/>
        <family val="2"/>
      </rPr>
      <t xml:space="preserve"> 10,083</t>
    </r>
  </si>
  <si>
    <r>
      <t>1</t>
    </r>
    <r>
      <rPr>
        <sz val="10"/>
        <rFont val="Arial Narrow"/>
        <family val="2"/>
      </rPr>
      <t xml:space="preserve"> 107,164</t>
    </r>
  </si>
  <si>
    <r>
      <t>1</t>
    </r>
    <r>
      <rPr>
        <sz val="10"/>
        <rFont val="Arial Narrow"/>
        <family val="2"/>
      </rPr>
      <t xml:space="preserve"> 17,365</t>
    </r>
  </si>
  <si>
    <r>
      <t>1</t>
    </r>
    <r>
      <rPr>
        <sz val="10"/>
        <rFont val="Arial Narrow"/>
        <family val="2"/>
      </rPr>
      <t xml:space="preserve"> 13,721</t>
    </r>
  </si>
  <si>
    <r>
      <t>1</t>
    </r>
    <r>
      <rPr>
        <sz val="10"/>
        <rFont val="Arial Narrow"/>
        <family val="2"/>
      </rPr>
      <t xml:space="preserve"> 10,658</t>
    </r>
  </si>
  <si>
    <r>
      <t>1</t>
    </r>
    <r>
      <rPr>
        <sz val="10"/>
        <rFont val="Arial Narrow"/>
        <family val="2"/>
      </rPr>
      <t xml:space="preserve"> 14,151</t>
    </r>
  </si>
  <si>
    <r>
      <t>1</t>
    </r>
    <r>
      <rPr>
        <sz val="10"/>
        <rFont val="Arial Narrow"/>
        <family val="2"/>
      </rPr>
      <t xml:space="preserve"> 13,361</t>
    </r>
  </si>
  <si>
    <r>
      <t>1</t>
    </r>
    <r>
      <rPr>
        <sz val="10"/>
        <rFont val="Arial Narrow"/>
        <family val="2"/>
      </rPr>
      <t xml:space="preserve"> 11,443</t>
    </r>
  </si>
  <si>
    <r>
      <t>1</t>
    </r>
    <r>
      <rPr>
        <sz val="10"/>
        <rFont val="Arial Narrow"/>
        <family val="2"/>
      </rPr>
      <t xml:space="preserve"> 24,361</t>
    </r>
  </si>
  <si>
    <r>
      <t>1</t>
    </r>
    <r>
      <rPr>
        <sz val="10"/>
        <rFont val="Arial Narrow"/>
        <family val="2"/>
      </rPr>
      <t xml:space="preserve"> 46,555</t>
    </r>
  </si>
  <si>
    <r>
      <t>1</t>
    </r>
    <r>
      <rPr>
        <sz val="10"/>
        <rFont val="Arial Narrow"/>
        <family val="2"/>
      </rPr>
      <t xml:space="preserve"> 33,279</t>
    </r>
  </si>
  <si>
    <r>
      <t>1</t>
    </r>
    <r>
      <rPr>
        <sz val="10"/>
        <rFont val="Arial Narrow"/>
        <family val="2"/>
      </rPr>
      <t xml:space="preserve"> 22,891</t>
    </r>
  </si>
  <si>
    <r>
      <t>1</t>
    </r>
    <r>
      <rPr>
        <sz val="10"/>
        <rFont val="Arial Narrow"/>
        <family val="2"/>
      </rPr>
      <t xml:space="preserve"> 11,892</t>
    </r>
  </si>
  <si>
    <r>
      <t>1</t>
    </r>
    <r>
      <rPr>
        <sz val="10"/>
        <rFont val="Arial Narrow"/>
        <family val="2"/>
      </rPr>
      <t xml:space="preserve"> 18,026</t>
    </r>
  </si>
  <si>
    <r>
      <t>1</t>
    </r>
    <r>
      <rPr>
        <sz val="10"/>
        <rFont val="Arial Narrow"/>
        <family val="2"/>
      </rPr>
      <t xml:space="preserve"> 10,863</t>
    </r>
  </si>
  <si>
    <r>
      <t>1</t>
    </r>
    <r>
      <rPr>
        <sz val="10"/>
        <rFont val="Arial Narrow"/>
        <family val="2"/>
      </rPr>
      <t xml:space="preserve"> 9,067</t>
    </r>
  </si>
  <si>
    <r>
      <t>1</t>
    </r>
    <r>
      <rPr>
        <sz val="10"/>
        <rFont val="Arial Narrow"/>
        <family val="2"/>
      </rPr>
      <t xml:space="preserve"> 14,796</t>
    </r>
  </si>
  <si>
    <r>
      <t>1</t>
    </r>
    <r>
      <rPr>
        <sz val="10"/>
        <rFont val="Arial Narrow"/>
        <family val="2"/>
      </rPr>
      <t xml:space="preserve"> 10,655</t>
    </r>
  </si>
  <si>
    <r>
      <t>1</t>
    </r>
    <r>
      <rPr>
        <sz val="10"/>
        <rFont val="Arial Narrow"/>
        <family val="2"/>
      </rPr>
      <t xml:space="preserve"> 47,889</t>
    </r>
  </si>
  <si>
    <r>
      <t>1</t>
    </r>
    <r>
      <rPr>
        <sz val="10"/>
        <rFont val="Arial Narrow"/>
        <family val="2"/>
      </rPr>
      <t xml:space="preserve"> 12,631</t>
    </r>
  </si>
  <si>
    <r>
      <t>1</t>
    </r>
    <r>
      <rPr>
        <sz val="10"/>
        <rFont val="Arial Narrow"/>
        <family val="2"/>
      </rPr>
      <t xml:space="preserve"> 291,292</t>
    </r>
  </si>
  <si>
    <r>
      <t>1</t>
    </r>
    <r>
      <rPr>
        <sz val="10"/>
        <rFont val="Arial Narrow"/>
        <family val="2"/>
      </rPr>
      <t xml:space="preserve"> 28,460</t>
    </r>
  </si>
  <si>
    <r>
      <t>1</t>
    </r>
    <r>
      <rPr>
        <sz val="10"/>
        <rFont val="Arial Narrow"/>
        <family val="2"/>
      </rPr>
      <t xml:space="preserve"> 8,881</t>
    </r>
  </si>
  <si>
    <r>
      <t>1</t>
    </r>
    <r>
      <rPr>
        <sz val="10"/>
        <rFont val="Arial Narrow"/>
        <family val="2"/>
      </rPr>
      <t xml:space="preserve"> 41,953</t>
    </r>
  </si>
  <si>
    <r>
      <t>1</t>
    </r>
    <r>
      <rPr>
        <sz val="10"/>
        <rFont val="Arial Narrow"/>
        <family val="2"/>
      </rPr>
      <t xml:space="preserve"> 11,113</t>
    </r>
  </si>
  <si>
    <r>
      <t>1</t>
    </r>
    <r>
      <rPr>
        <sz val="10"/>
        <rFont val="Arial Narrow"/>
        <family val="2"/>
      </rPr>
      <t xml:space="preserve"> 18,755</t>
    </r>
  </si>
  <si>
    <r>
      <t>1</t>
    </r>
    <r>
      <rPr>
        <sz val="10"/>
        <rFont val="Arial Narrow"/>
        <family val="2"/>
      </rPr>
      <t xml:space="preserve"> 75,896</t>
    </r>
  </si>
  <si>
    <r>
      <t>1</t>
    </r>
    <r>
      <rPr>
        <sz val="10"/>
        <rFont val="Arial Narrow"/>
        <family val="2"/>
      </rPr>
      <t xml:space="preserve"> 11,856</t>
    </r>
  </si>
  <si>
    <r>
      <t>1</t>
    </r>
    <r>
      <rPr>
        <sz val="10"/>
        <rFont val="Arial Narrow"/>
        <family val="2"/>
      </rPr>
      <t xml:space="preserve"> 14,489</t>
    </r>
  </si>
  <si>
    <r>
      <t>1</t>
    </r>
    <r>
      <rPr>
        <sz val="10"/>
        <rFont val="Arial Narrow"/>
        <family val="2"/>
      </rPr>
      <t xml:space="preserve"> 8,162</t>
    </r>
  </si>
  <si>
    <r>
      <t>1</t>
    </r>
    <r>
      <rPr>
        <sz val="10"/>
        <rFont val="Arial Narrow"/>
        <family val="2"/>
      </rPr>
      <t xml:space="preserve"> 16,858</t>
    </r>
  </si>
  <si>
    <r>
      <t>1</t>
    </r>
    <r>
      <rPr>
        <sz val="10"/>
        <rFont val="Arial Narrow"/>
        <family val="2"/>
      </rPr>
      <t xml:space="preserve"> 115,271</t>
    </r>
  </si>
  <si>
    <r>
      <t>1</t>
    </r>
    <r>
      <rPr>
        <sz val="10"/>
        <rFont val="Arial Narrow"/>
        <family val="2"/>
      </rPr>
      <t xml:space="preserve"> 9,322</t>
    </r>
  </si>
  <si>
    <r>
      <t>1</t>
    </r>
    <r>
      <rPr>
        <sz val="10"/>
        <rFont val="Arial Narrow"/>
        <family val="2"/>
      </rPr>
      <t xml:space="preserve"> 8,995</t>
    </r>
  </si>
  <si>
    <r>
      <t>1</t>
    </r>
    <r>
      <rPr>
        <sz val="10"/>
        <rFont val="Arial Narrow"/>
        <family val="2"/>
      </rPr>
      <t xml:space="preserve"> 23,437</t>
    </r>
  </si>
  <si>
    <r>
      <t>1</t>
    </r>
    <r>
      <rPr>
        <sz val="10"/>
        <rFont val="Arial Narrow"/>
        <family val="2"/>
      </rPr>
      <t xml:space="preserve"> 32,875</t>
    </r>
  </si>
  <si>
    <r>
      <t>1</t>
    </r>
    <r>
      <rPr>
        <sz val="10"/>
        <rFont val="Arial Narrow"/>
        <family val="2"/>
      </rPr>
      <t xml:space="preserve"> 13,042</t>
    </r>
  </si>
  <si>
    <r>
      <t>1</t>
    </r>
    <r>
      <rPr>
        <sz val="10"/>
        <rFont val="Arial Narrow"/>
        <family val="2"/>
      </rPr>
      <t xml:space="preserve"> 15,091</t>
    </r>
  </si>
  <si>
    <r>
      <t>1</t>
    </r>
    <r>
      <rPr>
        <sz val="10"/>
        <rFont val="Arial Narrow"/>
        <family val="2"/>
      </rPr>
      <t xml:space="preserve"> 7,325</t>
    </r>
  </si>
  <si>
    <r>
      <t>2</t>
    </r>
    <r>
      <rPr>
        <sz val="10"/>
        <rFont val="Arial Narrow"/>
        <family val="2"/>
      </rPr>
      <t xml:space="preserve"> 1,908</t>
    </r>
  </si>
  <si>
    <r>
      <t>2</t>
    </r>
    <r>
      <rPr>
        <sz val="10"/>
        <rFont val="Arial Narrow"/>
        <family val="2"/>
      </rPr>
      <t xml:space="preserve"> 1,982</t>
    </r>
  </si>
  <si>
    <r>
      <t>2</t>
    </r>
    <r>
      <rPr>
        <sz val="10"/>
        <rFont val="Arial Narrow"/>
        <family val="2"/>
      </rPr>
      <t xml:space="preserve"> 10,576</t>
    </r>
  </si>
  <si>
    <r>
      <t>2</t>
    </r>
    <r>
      <rPr>
        <sz val="10"/>
        <rFont val="Arial Narrow"/>
        <family val="2"/>
      </rPr>
      <t xml:space="preserve"> 50</t>
    </r>
  </si>
  <si>
    <r>
      <t>2</t>
    </r>
    <r>
      <rPr>
        <sz val="10"/>
        <rFont val="Arial Narrow"/>
        <family val="2"/>
      </rPr>
      <t xml:space="preserve"> 2,343</t>
    </r>
  </si>
  <si>
    <r>
      <t>1</t>
    </r>
    <r>
      <rPr>
        <sz val="10"/>
        <rFont val="Arial Narrow"/>
        <family val="2"/>
      </rPr>
      <t xml:space="preserve"> 97.042 Emergency Management Program Grants (EMPG), 97.044 Assistance to Firefighters Grants (AFG), 97.067 Homeland Security Grant Program (HSGP)</t>
    </r>
  </si>
  <si>
    <r>
      <t>2</t>
    </r>
    <r>
      <rPr>
        <sz val="10"/>
        <rFont val="Arial Narrow"/>
        <family val="2"/>
      </rPr>
      <t xml:space="preserve"> 97.042 EMPG, 97.067 HSGP</t>
    </r>
  </si>
  <si>
    <t>Department of Housing and Urban Development, Community Planning and Development</t>
  </si>
  <si>
    <t>86-0162-0-1-451</t>
  </si>
  <si>
    <t>Table 17-28. Community Development Block Grant (14.218; 14.225; 14.228; 14.862)</t>
  </si>
  <si>
    <t>Table 17-29. Community Development Block Grant - Disaster Recovery (14.218; 14.228; 14.269)</t>
  </si>
  <si>
    <t>Department of Housing and Urban Development, Public and Indian Housing Programs</t>
  </si>
  <si>
    <t>86-0302-0-1-604</t>
  </si>
  <si>
    <t>Table 17-30. Section 8 Housing Choice Vouchers (14.871)</t>
  </si>
  <si>
    <r>
      <t>1</t>
    </r>
    <r>
      <rPr>
        <sz val="10"/>
        <rFont val="Arial Narrow"/>
        <family val="2"/>
      </rPr>
      <t xml:space="preserve"> 237,347</t>
    </r>
  </si>
  <si>
    <r>
      <t>2</t>
    </r>
    <r>
      <rPr>
        <sz val="10"/>
        <rFont val="Arial Narrow"/>
        <family val="2"/>
      </rPr>
      <t xml:space="preserve"> 302,000</t>
    </r>
  </si>
  <si>
    <r>
      <t>3</t>
    </r>
    <r>
      <rPr>
        <sz val="10"/>
        <rFont val="Arial Narrow"/>
        <family val="2"/>
      </rPr>
      <t xml:space="preserve"> 319,000</t>
    </r>
  </si>
  <si>
    <r>
      <t>4</t>
    </r>
    <r>
      <rPr>
        <b/>
        <sz val="10"/>
        <rFont val="Arial Narrow"/>
        <family val="2"/>
      </rPr>
      <t xml:space="preserve"> 100.00</t>
    </r>
  </si>
  <si>
    <r>
      <t>1</t>
    </r>
    <r>
      <rPr>
        <sz val="10"/>
        <rFont val="Arial Narrow"/>
        <family val="2"/>
      </rPr>
      <t xml:space="preserve"> Includes obligations for the Contract Renewal Set-Aside, Tenant Protection Vouchers, HUD-VA Supportive Housing (HUD-VASH), Tribal HUD-VASH, Rental Assistance Demonstration (RAD) conversions, and Family Unification Program (FUP) vouchers.</t>
    </r>
  </si>
  <si>
    <r>
      <t>2</t>
    </r>
    <r>
      <rPr>
        <sz val="10"/>
        <rFont val="Arial Narrow"/>
        <family val="2"/>
      </rPr>
      <t xml:space="preserve"> Includes obligations for the Contract Renewal Set-Aside, Tenant Protection Vouchers, HUD-VASH, Tribal HUD-VASH, RAD conversions, and FUP vouchers.</t>
    </r>
  </si>
  <si>
    <r>
      <t>3</t>
    </r>
    <r>
      <rPr>
        <sz val="10"/>
        <rFont val="Arial Narrow"/>
        <family val="2"/>
      </rPr>
      <t xml:space="preserve"> Includes obligations for Contract Renewal Set-Aside, Tenant Protection Vouchers, Tribal HUD-VASH, and RAD conversions.</t>
    </r>
  </si>
  <si>
    <r>
      <t>4</t>
    </r>
    <r>
      <rPr>
        <sz val="10"/>
        <rFont val="Arial Narrow"/>
        <family val="2"/>
      </rPr>
      <t xml:space="preserve"> Excludes undistributed obligations.</t>
    </r>
  </si>
  <si>
    <t>86-0163-0-1-604</t>
  </si>
  <si>
    <t>Table 17-31. Public Housing Operating Fund (14.850)</t>
  </si>
  <si>
    <t>86-0304-0-1-604</t>
  </si>
  <si>
    <t>Table 17-32. Public Housing Capital Fund (14.872)</t>
  </si>
  <si>
    <t>Department of Labor, Employment and Training Administration</t>
  </si>
  <si>
    <t>16-0179-0-1-603</t>
  </si>
  <si>
    <t>Table 17-33. Unemployment Insurance (17.225)</t>
  </si>
  <si>
    <t>Department of Health and Human Services</t>
  </si>
  <si>
    <t>National Assoc. of State Workforce Agencies</t>
  </si>
  <si>
    <t>Department of Transportation, Federal Aviation Administration</t>
  </si>
  <si>
    <t>69-8106-0-7-402</t>
  </si>
  <si>
    <t>Table 17-34. Airport Improvement Program (20.106)</t>
  </si>
  <si>
    <t>Department of Transportation, Federal Highway Administration</t>
  </si>
  <si>
    <t>69-8083-0-7-401</t>
  </si>
  <si>
    <t>Table 17-35. Highway Planning and Construction (20.205)</t>
  </si>
  <si>
    <r>
      <t>1</t>
    </r>
    <r>
      <rPr>
        <sz val="10"/>
        <rFont val="Arial Narrow"/>
        <family val="2"/>
      </rPr>
      <t xml:space="preserve"> 608,861</t>
    </r>
  </si>
  <si>
    <r>
      <t>1</t>
    </r>
    <r>
      <rPr>
        <sz val="10"/>
        <rFont val="Arial Narrow"/>
        <family val="2"/>
      </rPr>
      <t xml:space="preserve"> 7,532,744</t>
    </r>
  </si>
  <si>
    <r>
      <t>1</t>
    </r>
    <r>
      <rPr>
        <sz val="10"/>
        <rFont val="Arial Narrow"/>
        <family val="2"/>
      </rPr>
      <t xml:space="preserve"> 8,115,300</t>
    </r>
  </si>
  <si>
    <r>
      <t>1</t>
    </r>
    <r>
      <rPr>
        <sz val="10"/>
        <rFont val="Arial Narrow"/>
        <family val="2"/>
      </rPr>
      <t xml:space="preserve"> This amount includes funding for allocated programs, which has not been identified as being provided to a specific State at this time.       </t>
    </r>
  </si>
  <si>
    <t>Department of Transportation, Federal Transit Administration</t>
  </si>
  <si>
    <t>69-8350-0-7-401</t>
  </si>
  <si>
    <t>Table 17-36. Transit Formula Grants Programs (20.507)</t>
  </si>
  <si>
    <t>Enviromental Protection Agency, Office of Water</t>
  </si>
  <si>
    <t>68-0103-0-1-304</t>
  </si>
  <si>
    <t>Table 17-37. Capitalization Grants for Clean Water State Revolving Fund (66.458)</t>
  </si>
  <si>
    <t>Interagency Agreements with IHS</t>
  </si>
  <si>
    <r>
      <t>1</t>
    </r>
    <r>
      <rPr>
        <sz val="10"/>
        <rFont val="Arial Narrow"/>
        <family val="2"/>
      </rPr>
      <t xml:space="preserve"> 6,389</t>
    </r>
  </si>
  <si>
    <t>American Iron and Steel Management and Oversight</t>
  </si>
  <si>
    <r>
      <t>2</t>
    </r>
    <r>
      <rPr>
        <sz val="10"/>
        <rFont val="Arial Narrow"/>
        <family val="2"/>
      </rPr>
      <t xml:space="preserve"> 847</t>
    </r>
  </si>
  <si>
    <r>
      <t>1</t>
    </r>
    <r>
      <rPr>
        <sz val="10"/>
        <rFont val="Arial Narrow"/>
        <family val="2"/>
      </rPr>
      <t xml:space="preserve"> Interagency Agreements with the Indian Health Service (IHS) to provide services to increase basic drinking water access by providing drinking water infrastructure to Indian Tribes.</t>
    </r>
  </si>
  <si>
    <r>
      <t>2</t>
    </r>
    <r>
      <rPr>
        <sz val="10"/>
        <rFont val="Arial Narrow"/>
        <family val="2"/>
      </rPr>
      <t xml:space="preserve"> Section 424 of P.L. 114-113 which amended the CWA provides EPA the authority to retain up to 0.25 percent of CWSRF and DWSRF appropriated funds for American Iron and Steel Management and Oversight.</t>
    </r>
  </si>
  <si>
    <t>Table 17-38. Capitalization Grants for Drinking Water State Revolving Fund (66.468)</t>
  </si>
  <si>
    <r>
      <t>1</t>
    </r>
    <r>
      <rPr>
        <sz val="10"/>
        <rFont val="Arial Narrow"/>
        <family val="2"/>
      </rPr>
      <t xml:space="preserve"> 3,561</t>
    </r>
  </si>
  <si>
    <t>UCMR</t>
  </si>
  <si>
    <r>
      <t>2</t>
    </r>
    <r>
      <rPr>
        <sz val="10"/>
        <rFont val="Arial Narrow"/>
        <family val="2"/>
      </rPr>
      <t xml:space="preserve"> 2,000</t>
    </r>
  </si>
  <si>
    <r>
      <t>3</t>
    </r>
    <r>
      <rPr>
        <sz val="10"/>
        <rFont val="Arial Narrow"/>
        <family val="2"/>
      </rPr>
      <t xml:space="preserve"> 3,369</t>
    </r>
  </si>
  <si>
    <t>Northbridge Group Incorporated</t>
  </si>
  <si>
    <r>
      <t>4</t>
    </r>
    <r>
      <rPr>
        <sz val="10"/>
        <rFont val="Arial Narrow"/>
        <family val="2"/>
      </rPr>
      <t xml:space="preserve"> 55</t>
    </r>
  </si>
  <si>
    <r>
      <t>5</t>
    </r>
    <r>
      <rPr>
        <b/>
        <sz val="10"/>
        <rFont val="Arial Narrow"/>
        <family val="2"/>
      </rPr>
      <t xml:space="preserve"> 100.00</t>
    </r>
  </si>
  <si>
    <r>
      <t>2</t>
    </r>
    <r>
      <rPr>
        <sz val="10"/>
        <rFont val="Arial Narrow"/>
        <family val="2"/>
      </rPr>
      <t xml:space="preserve"> UCMR set aside: These funds are a set-aside of the DWSRF program ($2 million annually) to pay for the cost of monitoring for unregulated contaminants at systems serving fewer than 10,000 people. EPA uses the Unregulated Contaminant Monitoring (UCM) program to collect data for contaminants suspected to be present in drinking water, but that do not have health-based standards set under the Safe Drinking Water Act (SDWA) and these funds are for the administration, management, and oversight associated with the American Iron and Steel Requirement. 0.25% is set-aside from the DWSRF for this purpose.</t>
    </r>
  </si>
  <si>
    <r>
      <t>3</t>
    </r>
    <r>
      <rPr>
        <sz val="10"/>
        <rFont val="Arial Narrow"/>
        <family val="2"/>
      </rPr>
      <t xml:space="preserve"> Interagency Agreements with the Indian Health Service (IHS) to provide services to increase basic drinking water access by providing drinking water infrastructure to Indian Tribes.</t>
    </r>
  </si>
  <si>
    <r>
      <t>4</t>
    </r>
    <r>
      <rPr>
        <sz val="10"/>
        <rFont val="Arial Narrow"/>
        <family val="2"/>
      </rPr>
      <t xml:space="preserve"> Contract to Northbridge Group Incorporated to develop a loan and grants tracking system for the Drinking Water State Revolving Fund Grant.</t>
    </r>
  </si>
  <si>
    <r>
      <t>5</t>
    </r>
    <r>
      <rPr>
        <sz val="10"/>
        <rFont val="Arial Narrow"/>
        <family val="2"/>
      </rPr>
      <t xml:space="preserve"> Excludes undistributed obligations.</t>
    </r>
  </si>
  <si>
    <t>27-5183-0-2-376</t>
  </si>
  <si>
    <t>Department of Agriculture,
 Food and Nutrituion Service</t>
  </si>
  <si>
    <t>Department of Education,
 Office of Elementary and Seconfary Education</t>
  </si>
  <si>
    <t>Department of Education,
 Office of Special Education and Rehabilitative Services</t>
  </si>
  <si>
    <t>Department of Health and Human Services,
 Administration for Children and Families</t>
  </si>
  <si>
    <t>Department of Health and Human Services,
 Centers for Medicare and Medicaid Services</t>
  </si>
  <si>
    <t>Department of Health and Human Services,
 Health Resources and Services Administration</t>
  </si>
  <si>
    <t>Department of Homeland Security,
 Federal Emergency Management Agency</t>
  </si>
  <si>
    <t>Department of Housing and Urban Development,
 Community Planning and Development</t>
  </si>
  <si>
    <t>Department of Housing and Urban Development,
 Public and Indian Housing Programs</t>
  </si>
  <si>
    <t>Department of Labor,
 Employment and Training Administration</t>
  </si>
  <si>
    <t>Department of Transportation,
 Federal Aviation Administration</t>
  </si>
  <si>
    <t>Department of Transportation,
 Federal Highway Administration</t>
  </si>
  <si>
    <t>Department of Transportation,
 Federal Transit Administration</t>
  </si>
  <si>
    <t>Enviromental Protection Agency,
 Office of Water</t>
  </si>
  <si>
    <t>1)</t>
  </si>
  <si>
    <t>The Federal agency that administers the program.</t>
  </si>
  <si>
    <t>2)</t>
  </si>
  <si>
    <r>
      <t xml:space="preserve">The program title and number as contained in the </t>
    </r>
    <r>
      <rPr>
        <i/>
        <sz val="12"/>
        <color indexed="8"/>
        <rFont val="Arial"/>
        <family val="2"/>
      </rPr>
      <t>Catalog of Federal Domestic Assistance.</t>
    </r>
  </si>
  <si>
    <t>3)</t>
  </si>
  <si>
    <t>The Treasury budget account number from which the program is funded.</t>
  </si>
  <si>
    <t>4)</t>
  </si>
  <si>
    <t>5)</t>
  </si>
  <si>
    <t>6)</t>
  </si>
  <si>
    <t>7)</t>
  </si>
  <si>
    <t>The supplement also includes 35 individual program tables with State-by-State obligation data. The individual program tables display obligations for each program on a State-by-State basis, consistent with the estimates in the FY 2020 Budget.  Each program table reports the following information:</t>
  </si>
  <si>
    <t>Actual 2018 obligations for States, Federal territories, or Indian Tribes in thousands of dollars.  Undistributed obligations are generally project funds that are not distributed by formula, or programs for which State-by-State data are not available.</t>
  </si>
  <si>
    <t>Obligations in 2019 from balances of previous budget authority and obligations in 2019 from new budget authority distributed by State.</t>
  </si>
  <si>
    <t>Estimates of 2020 obligations by State, which are based on the 2019 Budget request, unless otherwise noted.</t>
  </si>
  <si>
    <t>The percentage share of 2020 estimated program funds distributed to each State.</t>
  </si>
  <si>
    <r>
      <t xml:space="preserve">The State-by-State Tables are provided as supplemental material to Chapter 17, “Aid to State and Local Governments,” in the Budget’s Analytical Perspectives volume.  This supplement includes two tables that summarize State-by-State spending for select grant programs to State and local governments.  The first summary table (17-3), “Summary of Programs by Agency, Bureau, and Program” shows obligations for each program by agency and bureau.  The second summary table (17-4), “Summary of Grant Programs by State,’’ shows total obligations across all programs for each State.  The programs in this supplement cover more than </t>
    </r>
    <r>
      <rPr>
        <sz val="12"/>
        <rFont val="Arial"/>
        <family val="2"/>
      </rPr>
      <t>94</t>
    </r>
    <r>
      <rPr>
        <sz val="12"/>
        <color rgb="FF000000"/>
        <rFont val="Arial"/>
        <family val="2"/>
      </rPr>
      <t xml:space="preserve"> percent of total grant spending.  </t>
    </r>
  </si>
  <si>
    <r>
      <rPr>
        <vertAlign val="superscript"/>
        <sz val="10"/>
        <rFont val="Arial Narrow"/>
        <family val="2"/>
      </rPr>
      <t>1</t>
    </r>
    <r>
      <rPr>
        <sz val="10"/>
        <rFont val="Arial Narrow"/>
        <family val="2"/>
      </rPr>
      <t xml:space="preserve"> The FY 2018 total includes $525,154 in FY 2017 funding realloted into FY 2018.</t>
    </r>
  </si>
  <si>
    <r>
      <rPr>
        <b/>
        <vertAlign val="superscript"/>
        <sz val="10"/>
        <rFont val="Arial Narrow"/>
        <family val="2"/>
      </rPr>
      <t>1</t>
    </r>
    <r>
      <rPr>
        <b/>
        <sz val="10"/>
        <rFont val="Arial Narrow"/>
        <family val="2"/>
      </rPr>
      <t xml:space="preserve"> 3,640,829</t>
    </r>
  </si>
  <si>
    <t>NOTE: Multiple States have capped allocation waiver demonstration projects under Section 1130 of the Social Security Act for portions of their Foster Care programs.  This table may not fully reflect the terms and condition of any such waiver agreement.</t>
  </si>
  <si>
    <r>
      <rPr>
        <vertAlign val="superscript"/>
        <sz val="10"/>
        <rFont val="Arial Narrow"/>
        <family val="2"/>
      </rPr>
      <t>1</t>
    </r>
    <r>
      <rPr>
        <sz val="10"/>
        <rFont val="Arial Narrow"/>
        <family val="2"/>
      </rPr>
      <t xml:space="preserve"> The FY 2020 States' amounts include the Family Based Care proposal and interaction effects from the proposal to eliminate Social Services Block Grant funding.</t>
    </r>
  </si>
  <si>
    <r>
      <rPr>
        <b/>
        <vertAlign val="superscript"/>
        <sz val="10"/>
        <rFont val="Arial Narrow"/>
        <family val="2"/>
      </rPr>
      <t>1</t>
    </r>
    <r>
      <rPr>
        <b/>
        <sz val="10"/>
        <rFont val="Arial Narrow"/>
        <family val="2"/>
      </rPr>
      <t xml:space="preserve"> 5,267,562</t>
    </r>
  </si>
  <si>
    <r>
      <rPr>
        <b/>
        <vertAlign val="superscript"/>
        <sz val="10"/>
        <rFont val="Arial Narrow"/>
        <family val="2"/>
      </rPr>
      <t>1</t>
    </r>
    <r>
      <rPr>
        <b/>
        <sz val="10"/>
        <rFont val="Arial Narrow"/>
        <family val="2"/>
      </rPr>
      <t xml:space="preserve"> 2,942,000</t>
    </r>
  </si>
  <si>
    <r>
      <rPr>
        <vertAlign val="superscript"/>
        <sz val="10"/>
        <rFont val="Arial Narrow"/>
        <family val="2"/>
      </rPr>
      <t>1</t>
    </r>
    <r>
      <rPr>
        <sz val="10"/>
        <rFont val="Arial Narrow"/>
        <family val="2"/>
      </rPr>
      <t xml:space="preserve"> FY 2020 States' amounts include the interaction effects from the proposal to eliminate Social Services Block Grant funding.</t>
    </r>
  </si>
  <si>
    <t>NOTE: The 2020 Budget proposes to eliminate the Social Services Block Grant (SSBG).</t>
  </si>
  <si>
    <t>NOTE: The obligation estimates reflect the State and territory reported estimates of Medicaid needs available to CMS in November 2018.</t>
  </si>
  <si>
    <t>NOTE: This table also includes budget account number 69-0500-0-1-401 and 69-0548-0-1-401.</t>
  </si>
  <si>
    <r>
      <rPr>
        <vertAlign val="superscript"/>
        <sz val="10"/>
        <rFont val="Arial Narrow"/>
        <family val="2"/>
      </rPr>
      <t>2</t>
    </r>
    <r>
      <rPr>
        <sz val="10"/>
        <rFont val="Arial Narrow"/>
        <family val="2"/>
      </rPr>
      <t xml:space="preserve"> The FY 2019 column reflects the estimated distribution of Federal-aid highways obligation limitation plus exempt contract authority post sequestration, estimated Emergency Relief Program amounts, and estimated Highway Infrastructure Programs amounts.</t>
    </r>
  </si>
  <si>
    <r>
      <rPr>
        <b/>
        <vertAlign val="superscript"/>
        <sz val="10"/>
        <rFont val="Arial Narrow"/>
        <family val="2"/>
      </rPr>
      <t>2</t>
    </r>
    <r>
      <rPr>
        <b/>
        <sz val="10"/>
        <rFont val="Arial Narrow"/>
        <family val="2"/>
      </rPr>
      <t xml:space="preserve"> 49,029,794</t>
    </r>
  </si>
  <si>
    <r>
      <rPr>
        <vertAlign val="superscript"/>
        <sz val="10"/>
        <rFont val="Arial Narrow"/>
        <family val="2"/>
      </rPr>
      <t>3</t>
    </r>
    <r>
      <rPr>
        <sz val="10"/>
        <rFont val="Arial Narrow"/>
        <family val="2"/>
      </rPr>
      <t xml:space="preserve"> The FY 2020 column reflects estimated distributions of Federal-aid highways obligation limitation plus exempt contract authority, estimated Emergency Relief Program amounts, and estimated Highway Infrastructure Programs amounts.</t>
    </r>
  </si>
  <si>
    <r>
      <rPr>
        <b/>
        <vertAlign val="superscript"/>
        <sz val="10"/>
        <rFont val="Arial Narrow"/>
        <family val="2"/>
      </rPr>
      <t>3</t>
    </r>
    <r>
      <rPr>
        <b/>
        <sz val="10"/>
        <rFont val="Arial Narrow"/>
        <family val="2"/>
      </rPr>
      <t xml:space="preserve"> 49480827</t>
    </r>
  </si>
  <si>
    <r>
      <t>4</t>
    </r>
    <r>
      <rPr>
        <sz val="10"/>
        <rFont val="Arial Narrow"/>
        <family val="2"/>
      </rPr>
      <t xml:space="preserve"> FY 2020 undistributed line is the Oversight take down of $71,000</t>
    </r>
  </si>
  <si>
    <r>
      <t>3</t>
    </r>
    <r>
      <rPr>
        <sz val="10"/>
        <rFont val="Arial Narrow"/>
        <family val="2"/>
      </rPr>
      <t xml:space="preserve"> FY 2019 current authority undistributed line is the Oversight take down of $29,240</t>
    </r>
  </si>
  <si>
    <r>
      <t>2</t>
    </r>
    <r>
      <rPr>
        <sz val="10"/>
        <rFont val="Arial Narrow"/>
        <family val="2"/>
      </rPr>
      <t xml:space="preserve"> FY 2019 previous authority undistributed line is the Oversight take down of $38,760</t>
    </r>
  </si>
  <si>
    <r>
      <t>1</t>
    </r>
    <r>
      <rPr>
        <sz val="10"/>
        <rFont val="Arial Narrow"/>
        <family val="2"/>
      </rPr>
      <t xml:space="preserve"> FY 2018 undistributed line is the Oversight take down of $64,357</t>
    </r>
  </si>
  <si>
    <r>
      <t>4</t>
    </r>
    <r>
      <rPr>
        <sz val="10"/>
        <rFont val="Arial Narrow"/>
        <family val="2"/>
      </rPr>
      <t xml:space="preserve"> 71,000</t>
    </r>
  </si>
  <si>
    <r>
      <t>3</t>
    </r>
    <r>
      <rPr>
        <sz val="10"/>
        <rFont val="Arial Narrow"/>
        <family val="2"/>
      </rPr>
      <t xml:space="preserve"> 29,240</t>
    </r>
  </si>
  <si>
    <r>
      <t>2</t>
    </r>
    <r>
      <rPr>
        <sz val="10"/>
        <rFont val="Arial Narrow"/>
        <family val="2"/>
      </rPr>
      <t xml:space="preserve"> 38,760</t>
    </r>
  </si>
  <si>
    <r>
      <t>1</t>
    </r>
    <r>
      <rPr>
        <sz val="10"/>
        <rFont val="Arial Narrow"/>
        <family val="2"/>
      </rPr>
      <t xml:space="preserve"> 64,357</t>
    </r>
  </si>
  <si>
    <r>
      <t>1</t>
    </r>
    <r>
      <rPr>
        <sz val="10"/>
        <rFont val="Arial Narrow"/>
        <family val="2"/>
      </rPr>
      <t xml:space="preserve"> Section 424 of P.L. 114-113, which amended the Clean Water Act, provides EPA the authority to retain up to 0.25 percent of CWSRF and DWSRF appropriated funds for American Iron and Steel Management and Oversight.</t>
    </r>
  </si>
  <si>
    <t>Table 17-39. Universal Service Fund E-Rate</t>
  </si>
  <si>
    <r>
      <t xml:space="preserve">1 </t>
    </r>
    <r>
      <rPr>
        <sz val="10"/>
        <rFont val="Arial Narrow"/>
        <family val="2"/>
      </rPr>
      <t>The sum of programs not distributed by State in all years.</t>
    </r>
  </si>
  <si>
    <t>N/A</t>
  </si>
  <si>
    <t>Total, including undistributed</t>
  </si>
  <si>
    <r>
      <t>Not distributed by State in all years</t>
    </r>
    <r>
      <rPr>
        <vertAlign val="superscript"/>
        <sz val="10"/>
        <rFont val="Arial Narrow"/>
        <family val="2"/>
      </rPr>
      <t xml:space="preserve"> 1</t>
    </r>
  </si>
  <si>
    <t>MEMORANDUM:</t>
  </si>
  <si>
    <t>Total, programs distributed by State in all years</t>
  </si>
  <si>
    <t>Continuing resolution</t>
  </si>
  <si>
    <t>Programs distributed in all years</t>
  </si>
  <si>
    <t>All programs FY 2018 (actual)</t>
  </si>
  <si>
    <t>(Obligations in millions of dollars)</t>
  </si>
  <si>
    <t>Table 17-4. Summary of Programs by State</t>
  </si>
  <si>
    <t xml:space="preserve">Capitalization Grants for Drinking Water State Revolving Fund (66.468)             </t>
  </si>
  <si>
    <t xml:space="preserve">Capitalization Grants for Clean Water State Revolving Fund (66.458)             </t>
  </si>
  <si>
    <t xml:space="preserve">Transit Formula Grants Programs (20.507)             </t>
  </si>
  <si>
    <t xml:space="preserve">Highway Planning and Construction (20.205)             </t>
  </si>
  <si>
    <t xml:space="preserve">Airport Improvement Program (20.106)             </t>
  </si>
  <si>
    <t xml:space="preserve">Unemployment Insurance (17.225)             </t>
  </si>
  <si>
    <t xml:space="preserve">Public Housing Capital Fund (14.872)             </t>
  </si>
  <si>
    <t xml:space="preserve">Public Housing Operating Fund (14.850)             </t>
  </si>
  <si>
    <t xml:space="preserve">Section 8 Housing Choice Vouchers (14.871)             </t>
  </si>
  <si>
    <t xml:space="preserve">Community Development Block Grant - Disaster Recovery (14.218; 14.228; 14.269)             </t>
  </si>
  <si>
    <t xml:space="preserve">Community Development Block Grant (14.218; 14.225; 14.228; 14.862)             </t>
  </si>
  <si>
    <t xml:space="preserve">FEMA Preparedness Grants (97.067 et al)             </t>
  </si>
  <si>
    <t xml:space="preserve">Ryan White HIV/AIDS Treatment Modernization Act-Part B HIV Care Grants (93.917)             </t>
  </si>
  <si>
    <t xml:space="preserve">Grants to States for Medicaid (93.778)             </t>
  </si>
  <si>
    <t xml:space="preserve">Children's Health Insurance Program (93.767)             </t>
  </si>
  <si>
    <t xml:space="preserve">Social Services Block Grant (93.667)             </t>
  </si>
  <si>
    <t xml:space="preserve">Adoption Assistance (93.659)             </t>
  </si>
  <si>
    <t xml:space="preserve">Foster Care-Title IV-E (93.658)             </t>
  </si>
  <si>
    <t xml:space="preserve">Head Start (93.600)             </t>
  </si>
  <si>
    <t xml:space="preserve">Child Care and Development Fund-Matching (93.596B)             </t>
  </si>
  <si>
    <t xml:space="preserve">Child Care and Development Fund-Mandatory (93.596A)             </t>
  </si>
  <si>
    <t xml:space="preserve">Child Care and Development Block Grant (93.575)             </t>
  </si>
  <si>
    <t xml:space="preserve">Low Income Home Energy Assistance Program (93.568)             </t>
  </si>
  <si>
    <t xml:space="preserve">Child Support Enforcement-Federal Share of State and Local Administrative Costs and Incentives (93.563)             </t>
  </si>
  <si>
    <t xml:space="preserve">Temporary Assistance for Needy Families (TANF)-Family Assistance Grants (93.558)             </t>
  </si>
  <si>
    <t xml:space="preserve">Special Education-Grants to States (84.027)             </t>
  </si>
  <si>
    <t xml:space="preserve">Vocational Rehabilitation Grants (84.126)             </t>
  </si>
  <si>
    <t xml:space="preserve">Supporting Effective Instruction State Grants (formerly Improving Teacher Quality State Grants) (84.367)             </t>
  </si>
  <si>
    <t xml:space="preserve">Title I Grants to Local Educational Agencies (84.010)             </t>
  </si>
  <si>
    <t xml:space="preserve">State Administrative Matching Grants for the Supplemental Nutrition Assistance Program (Food Stamps) (10.561)             </t>
  </si>
  <si>
    <t xml:space="preserve">Child and Adult Care Food Program (10.558)             </t>
  </si>
  <si>
    <t xml:space="preserve">Special Supplemental Nutrition Program for Women, Infants, and Children (WIC) (10.557)             </t>
  </si>
  <si>
    <t xml:space="preserve">National School Lunch Program (10.555)             </t>
  </si>
  <si>
    <t xml:space="preserve">School Breakfast Program (10.553)             </t>
  </si>
  <si>
    <t>New authority</t>
  </si>
  <si>
    <t>FY 2018 (actual)</t>
  </si>
  <si>
    <t>Agency, Bureau, and Program</t>
  </si>
  <si>
    <t>Table 17-3. Summary of Programs by Agency, Bureau, and Program</t>
  </si>
  <si>
    <r>
      <t>1</t>
    </r>
    <r>
      <rPr>
        <sz val="10"/>
        <rFont val="Arial Narrow"/>
        <family val="2"/>
      </rPr>
      <t xml:space="preserve"> The FY 2020 estimates for the territories have been adjusted to account for the limitation on total Medicaid payments to each territory as defined by 42 U.S.C. 1308 as well as funding limitations provided under 42 U.S.C. 18043. (Note: The limitation on Medicaid payments to territories under 42 U.S.C. 1308 is not yet available for FY 2020, so the FY 2020 column assumes the FY 2019 limitation applies.  Funding provided under 42 U.S.C. 18043 expires on December 31, 2019.)</t>
    </r>
  </si>
  <si>
    <t>Supplemental State-by-State Tables</t>
  </si>
  <si>
    <t>FY 2020 State-by-State Tables</t>
  </si>
  <si>
    <r>
      <t>3</t>
    </r>
    <r>
      <rPr>
        <sz val="10"/>
        <rFont val="Arial Narrow"/>
        <family val="2"/>
      </rPr>
      <t xml:space="preserve"> FY 2018 discretionary total includes funding carried over from FY 2017.  The discretionary funds for FY 2019 and FY 2020 includes funding for the third round of Early Head Start – Child Care Partnership grants.  This grant funding is available until March 31, 2019 and therefore the split between the states it not yet available.</t>
    </r>
  </si>
  <si>
    <r>
      <t>1,3</t>
    </r>
    <r>
      <rPr>
        <sz val="10"/>
        <rFont val="Arial Narrow"/>
        <family val="2"/>
      </rPr>
      <t xml:space="preserve"> 92,031</t>
    </r>
  </si>
  <si>
    <r>
      <t>2,3</t>
    </r>
    <r>
      <rPr>
        <sz val="10"/>
        <rFont val="Arial Narrow"/>
        <family val="2"/>
      </rPr>
      <t xml:space="preserve"> 771,546</t>
    </r>
  </si>
  <si>
    <r>
      <t>2,3</t>
    </r>
    <r>
      <rPr>
        <sz val="10"/>
        <rFont val="Arial Narrow"/>
        <family val="2"/>
      </rPr>
      <t xml:space="preserve"> 418,519</t>
    </r>
  </si>
  <si>
    <t>FY 2020 Analytical Perspectives Chapter 17 Aid to State and Local Governments</t>
  </si>
  <si>
    <t xml:space="preserve">Universal Service Fund E-Rate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</si>
</sst>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
    <numFmt numFmtId="165" formatCode="#,##0.00_);\(#,##0.00\);......"/>
  </numFmts>
  <fonts count="31" x14ac:knownFonts="1">
    <font>
      <sz val="10"/>
      <color indexed="8"/>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b/>
      <sz val="10"/>
      <name val="Arial Narrow"/>
      <family val="2"/>
    </font>
    <font>
      <b/>
      <vertAlign val="superscript"/>
      <sz val="10"/>
      <name val="Arial Narrow"/>
      <family val="2"/>
    </font>
    <font>
      <sz val="10"/>
      <color indexed="8"/>
      <name val="Arial Narrow"/>
      <family val="2"/>
    </font>
    <font>
      <b/>
      <sz val="10"/>
      <color indexed="8"/>
      <name val="Arial Narrow"/>
      <family val="2"/>
    </font>
    <font>
      <vertAlign val="superscript"/>
      <sz val="10"/>
      <name val="Arial Narrow"/>
      <family val="2"/>
    </font>
    <font>
      <sz val="12"/>
      <color indexed="8"/>
      <name val="Arial"/>
      <family val="2"/>
    </font>
    <font>
      <b/>
      <sz val="12"/>
      <color indexed="8"/>
      <name val="Arial"/>
      <family val="2"/>
    </font>
    <font>
      <sz val="12"/>
      <color rgb="FF000000"/>
      <name val="Arial"/>
      <family val="2"/>
    </font>
    <font>
      <i/>
      <sz val="12"/>
      <color indexed="8"/>
      <name val="Arial"/>
      <family val="2"/>
    </font>
    <font>
      <sz val="12"/>
      <name val="Arial"/>
      <family val="2"/>
    </font>
    <font>
      <b/>
      <sz val="16"/>
      <color indexed="8"/>
      <name val="Arial Narrow"/>
      <family val="2"/>
    </font>
    <font>
      <b/>
      <sz val="14"/>
      <color indexed="8"/>
      <name val="Arial Narro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1">
    <xf numFmtId="0" fontId="0" fillId="0" borderId="0" xfId="0"/>
    <xf numFmtId="0" fontId="21" fillId="0" borderId="0" xfId="0" applyFont="1" applyAlignment="1">
      <alignment horizontal="center"/>
    </xf>
    <xf numFmtId="0" fontId="21" fillId="0" borderId="0" xfId="0" applyFont="1"/>
    <xf numFmtId="49" fontId="21" fillId="0" borderId="0" xfId="0" applyNumberFormat="1" applyFont="1" applyAlignment="1">
      <alignment horizontal="center" wrapText="1"/>
    </xf>
    <xf numFmtId="0" fontId="21" fillId="0" borderId="0" xfId="0" applyFont="1" applyAlignment="1">
      <alignment horizontal="centerContinuous"/>
    </xf>
    <xf numFmtId="49" fontId="21" fillId="0" borderId="0" xfId="0" applyNumberFormat="1" applyFont="1" applyAlignment="1">
      <alignment horizontal="centerContinuous" wrapText="1"/>
    </xf>
    <xf numFmtId="0" fontId="22" fillId="0" borderId="0" xfId="0" applyFont="1" applyAlignment="1">
      <alignment horizontal="center"/>
    </xf>
    <xf numFmtId="49" fontId="22" fillId="0" borderId="0" xfId="0" applyNumberFormat="1" applyFont="1" applyAlignment="1">
      <alignment horizontal="center" wrapText="1"/>
    </xf>
    <xf numFmtId="0" fontId="18" fillId="0" borderId="0" xfId="0" applyFont="1" applyAlignment="1">
      <alignment vertical="top" wrapText="1"/>
    </xf>
    <xf numFmtId="0" fontId="18" fillId="0" borderId="0" xfId="0" applyFont="1" applyAlignment="1">
      <alignment horizontal="left" vertical="top" wrapText="1"/>
    </xf>
    <xf numFmtId="0" fontId="19" fillId="0" borderId="0" xfId="0" applyFont="1" applyAlignment="1">
      <alignment vertical="top" wrapText="1"/>
    </xf>
    <xf numFmtId="0" fontId="19" fillId="0" borderId="0" xfId="0" applyFont="1" applyBorder="1" applyAlignment="1">
      <alignment horizontal="centerContinuous" vertical="top" wrapText="1"/>
    </xf>
    <xf numFmtId="0" fontId="18" fillId="0" borderId="0" xfId="0" applyFont="1" applyBorder="1" applyAlignment="1">
      <alignment horizontal="centerContinuous" vertical="top" wrapText="1"/>
    </xf>
    <xf numFmtId="164" fontId="18" fillId="0" borderId="13" xfId="0" applyNumberFormat="1" applyFont="1" applyBorder="1" applyAlignment="1">
      <alignment horizontal="center" vertical="center" wrapText="1"/>
    </xf>
    <xf numFmtId="0" fontId="18" fillId="0" borderId="10" xfId="0" applyFont="1" applyBorder="1" applyAlignment="1">
      <alignment horizontal="centerContinuous" vertical="center" wrapText="1"/>
    </xf>
    <xf numFmtId="164" fontId="18" fillId="0" borderId="20" xfId="0" applyNumberFormat="1" applyFont="1" applyBorder="1" applyAlignment="1">
      <alignment horizontal="right" vertical="top" wrapText="1"/>
    </xf>
    <xf numFmtId="165" fontId="18" fillId="0" borderId="15" xfId="0" applyNumberFormat="1" applyFont="1" applyBorder="1" applyAlignment="1">
      <alignment horizontal="right" vertical="top" wrapText="1"/>
    </xf>
    <xf numFmtId="0" fontId="19" fillId="0" borderId="21" xfId="0" applyFont="1" applyBorder="1" applyAlignment="1">
      <alignment horizontal="left" vertical="top" wrapText="1"/>
    </xf>
    <xf numFmtId="164" fontId="19" fillId="0" borderId="18" xfId="0" applyNumberFormat="1" applyFont="1" applyBorder="1" applyAlignment="1">
      <alignment horizontal="right" vertical="top" wrapText="1"/>
    </xf>
    <xf numFmtId="165" fontId="20" fillId="0" borderId="18" xfId="0" applyNumberFormat="1" applyFont="1" applyBorder="1" applyAlignment="1">
      <alignment horizontal="right" vertical="top" wrapText="1"/>
    </xf>
    <xf numFmtId="165" fontId="19" fillId="0" borderId="18" xfId="0" applyNumberFormat="1" applyFont="1" applyBorder="1" applyAlignment="1">
      <alignment horizontal="right" vertical="top" wrapText="1"/>
    </xf>
    <xf numFmtId="164" fontId="23" fillId="0" borderId="20" xfId="0" applyNumberFormat="1" applyFont="1" applyBorder="1" applyAlignment="1">
      <alignment horizontal="right" vertical="top" wrapText="1"/>
    </xf>
    <xf numFmtId="0" fontId="18" fillId="0" borderId="0" xfId="0" applyFont="1" applyAlignment="1">
      <alignment vertical="top"/>
    </xf>
    <xf numFmtId="0" fontId="0" fillId="33" borderId="0" xfId="0" applyFill="1"/>
    <xf numFmtId="0" fontId="24" fillId="33" borderId="0" xfId="0" applyFont="1" applyFill="1"/>
    <xf numFmtId="0" fontId="26" fillId="33" borderId="0" xfId="0" quotePrefix="1" applyFont="1" applyFill="1" applyAlignment="1">
      <alignment horizontal="justify" vertical="center"/>
    </xf>
    <xf numFmtId="0" fontId="24" fillId="33" borderId="0" xfId="0" quotePrefix="1" applyFont="1" applyFill="1" applyAlignment="1">
      <alignment wrapText="1"/>
    </xf>
    <xf numFmtId="0" fontId="0" fillId="33" borderId="0" xfId="0" applyNumberFormat="1" applyFill="1"/>
    <xf numFmtId="0" fontId="24" fillId="33" borderId="0" xfId="0" quotePrefix="1" applyFont="1" applyFill="1"/>
    <xf numFmtId="0" fontId="0" fillId="33" borderId="0" xfId="0" applyNumberFormat="1" applyFill="1" applyAlignment="1">
      <alignment vertical="top"/>
    </xf>
    <xf numFmtId="165" fontId="20" fillId="0" borderId="22" xfId="0" applyNumberFormat="1" applyFont="1" applyBorder="1" applyAlignment="1">
      <alignment horizontal="right" vertical="top" wrapText="1"/>
    </xf>
    <xf numFmtId="164" fontId="19" fillId="0" borderId="22" xfId="0" applyNumberFormat="1" applyFont="1" applyBorder="1" applyAlignment="1">
      <alignment horizontal="right" vertical="top" wrapText="1"/>
    </xf>
    <xf numFmtId="0" fontId="19" fillId="0" borderId="23" xfId="0" applyFont="1" applyBorder="1" applyAlignment="1">
      <alignment horizontal="left" vertical="top" wrapText="1"/>
    </xf>
    <xf numFmtId="165" fontId="18" fillId="0" borderId="24" xfId="0" applyNumberFormat="1" applyFont="1" applyBorder="1" applyAlignment="1">
      <alignment horizontal="right" vertical="top" wrapText="1"/>
    </xf>
    <xf numFmtId="164" fontId="23" fillId="0" borderId="25" xfId="0" applyNumberFormat="1" applyFont="1" applyBorder="1" applyAlignment="1">
      <alignment horizontal="right" vertical="top" wrapText="1"/>
    </xf>
    <xf numFmtId="164" fontId="18" fillId="0" borderId="25" xfId="0" applyNumberFormat="1" applyFont="1" applyBorder="1" applyAlignment="1">
      <alignment horizontal="right" vertical="top" wrapText="1"/>
    </xf>
    <xf numFmtId="164" fontId="18" fillId="0" borderId="28" xfId="0" applyNumberFormat="1" applyFont="1" applyBorder="1" applyAlignment="1">
      <alignment horizontal="center" vertical="center" wrapText="1"/>
    </xf>
    <xf numFmtId="0" fontId="18" fillId="0" borderId="32" xfId="0" applyFont="1" applyBorder="1" applyAlignment="1">
      <alignment horizontal="centerContinuous" vertical="center" wrapText="1"/>
    </xf>
    <xf numFmtId="164" fontId="18" fillId="0" borderId="0" xfId="0" applyNumberFormat="1" applyFont="1" applyBorder="1" applyAlignment="1">
      <alignment horizontal="left" vertical="top" wrapText="1" indent="1"/>
    </xf>
    <xf numFmtId="164" fontId="19" fillId="0" borderId="0" xfId="0" applyNumberFormat="1" applyFont="1" applyBorder="1" applyAlignment="1">
      <alignment horizontal="left" vertical="top" wrapText="1"/>
    </xf>
    <xf numFmtId="164" fontId="19" fillId="0" borderId="0" xfId="0" applyNumberFormat="1" applyFont="1" applyBorder="1" applyAlignment="1">
      <alignment horizontal="left" vertical="top" wrapText="1" indent="1"/>
    </xf>
    <xf numFmtId="0" fontId="18" fillId="0" borderId="0" xfId="0" applyFont="1" applyAlignment="1">
      <alignment horizontal="left" vertical="top" wrapText="1" indent="1"/>
    </xf>
    <xf numFmtId="0" fontId="25" fillId="33" borderId="0" xfId="0" applyFont="1" applyFill="1" applyAlignment="1">
      <alignment horizontal="center"/>
    </xf>
    <xf numFmtId="0" fontId="29" fillId="0" borderId="0" xfId="0" applyFont="1" applyAlignment="1">
      <alignment horizontal="centerContinuous"/>
    </xf>
    <xf numFmtId="0" fontId="30" fillId="0" borderId="0" xfId="0" applyFont="1" applyAlignment="1">
      <alignment horizontal="centerContinuous"/>
    </xf>
    <xf numFmtId="164" fontId="18" fillId="0" borderId="24" xfId="0" applyNumberFormat="1" applyFont="1" applyBorder="1" applyAlignment="1">
      <alignment horizontal="right" vertical="top" wrapText="1"/>
    </xf>
    <xf numFmtId="165" fontId="18" fillId="0" borderId="28" xfId="0" applyNumberFormat="1" applyFont="1" applyBorder="1" applyAlignment="1">
      <alignment horizontal="center" vertical="center" wrapText="1"/>
    </xf>
    <xf numFmtId="164" fontId="18" fillId="0" borderId="22" xfId="0" applyNumberFormat="1" applyFont="1" applyBorder="1" applyAlignment="1">
      <alignment horizontal="right" vertical="top" wrapText="1"/>
    </xf>
    <xf numFmtId="164" fontId="18" fillId="0" borderId="23" xfId="0" applyNumberFormat="1" applyFont="1" applyBorder="1" applyAlignment="1">
      <alignment horizontal="left" vertical="top" wrapText="1" indent="1"/>
    </xf>
    <xf numFmtId="3" fontId="19" fillId="0" borderId="30" xfId="0" applyNumberFormat="1" applyFont="1" applyBorder="1" applyAlignment="1">
      <alignment horizontal="right" vertical="top" wrapText="1"/>
    </xf>
    <xf numFmtId="165" fontId="19" fillId="0" borderId="30" xfId="0" applyNumberFormat="1" applyFont="1" applyBorder="1" applyAlignment="1">
      <alignment horizontal="right" vertical="top" wrapText="1"/>
    </xf>
    <xf numFmtId="165" fontId="18" fillId="0" borderId="22" xfId="0" applyNumberFormat="1" applyFont="1" applyBorder="1" applyAlignment="1">
      <alignment horizontal="center" vertical="center" wrapText="1"/>
    </xf>
    <xf numFmtId="0" fontId="18" fillId="0" borderId="22" xfId="0" applyFont="1" applyBorder="1" applyAlignment="1">
      <alignment horizontal="centerContinuous" vertical="center" wrapText="1"/>
    </xf>
    <xf numFmtId="0" fontId="25" fillId="33" borderId="0" xfId="0" applyFont="1" applyFill="1" applyAlignment="1">
      <alignment horizontal="center"/>
    </xf>
    <xf numFmtId="0" fontId="26" fillId="33" borderId="0" xfId="0" quotePrefix="1" applyFont="1" applyFill="1" applyAlignment="1">
      <alignment horizontal="left" vertical="center" wrapText="1"/>
    </xf>
    <xf numFmtId="0" fontId="24" fillId="33" borderId="0" xfId="0" quotePrefix="1" applyFont="1" applyFill="1" applyAlignment="1">
      <alignment horizontal="left" wrapText="1"/>
    </xf>
    <xf numFmtId="165" fontId="18" fillId="0" borderId="31" xfId="0" applyNumberFormat="1" applyFont="1" applyBorder="1" applyAlignment="1">
      <alignment horizontal="center" vertical="center" wrapText="1"/>
    </xf>
    <xf numFmtId="165" fontId="18" fillId="0" borderId="27" xfId="0" applyNumberFormat="1" applyFont="1" applyBorder="1" applyAlignment="1">
      <alignment horizontal="center" vertical="center" wrapText="1"/>
    </xf>
    <xf numFmtId="164" fontId="23" fillId="0" borderId="0" xfId="0" applyNumberFormat="1" applyFont="1" applyAlignment="1">
      <alignment horizontal="left" vertical="top" wrapText="1"/>
    </xf>
    <xf numFmtId="165" fontId="18" fillId="0" borderId="30" xfId="0" applyNumberFormat="1" applyFont="1" applyBorder="1" applyAlignment="1">
      <alignment horizontal="center" vertical="center" wrapText="1"/>
    </xf>
    <xf numFmtId="165" fontId="18" fillId="0" borderId="24" xfId="0" applyNumberFormat="1" applyFont="1" applyBorder="1" applyAlignment="1">
      <alignment horizontal="center" vertical="center" wrapText="1"/>
    </xf>
    <xf numFmtId="165" fontId="18" fillId="0" borderId="26" xfId="0" applyNumberFormat="1" applyFont="1" applyBorder="1" applyAlignment="1">
      <alignment horizontal="center" vertical="center" wrapText="1"/>
    </xf>
    <xf numFmtId="165" fontId="18" fillId="0" borderId="25" xfId="0" applyNumberFormat="1" applyFont="1" applyBorder="1" applyAlignment="1">
      <alignment horizontal="center" vertical="center" wrapText="1"/>
    </xf>
    <xf numFmtId="0" fontId="18" fillId="0" borderId="30" xfId="0" applyFont="1" applyBorder="1" applyAlignment="1">
      <alignment horizontal="center" vertical="center" wrapText="1"/>
    </xf>
    <xf numFmtId="0" fontId="18" fillId="0" borderId="26" xfId="0" applyFont="1" applyBorder="1" applyAlignment="1">
      <alignment horizontal="center" vertical="center" wrapText="1"/>
    </xf>
    <xf numFmtId="164" fontId="18" fillId="0" borderId="32" xfId="0" applyNumberFormat="1" applyFont="1" applyBorder="1" applyAlignment="1">
      <alignment horizontal="left" vertical="top" wrapText="1"/>
    </xf>
    <xf numFmtId="49" fontId="23" fillId="0" borderId="0" xfId="0" applyNumberFormat="1" applyFont="1" applyAlignment="1">
      <alignment vertical="top" wrapText="1"/>
    </xf>
    <xf numFmtId="164" fontId="18" fillId="0" borderId="11" xfId="0" applyNumberFormat="1" applyFont="1" applyBorder="1" applyAlignment="1">
      <alignment horizontal="center" vertical="center" wrapText="1"/>
    </xf>
    <xf numFmtId="164" fontId="18" fillId="0" borderId="12" xfId="0" applyNumberFormat="1" applyFont="1" applyBorder="1" applyAlignment="1">
      <alignment horizontal="center" vertical="center" wrapText="1"/>
    </xf>
    <xf numFmtId="164" fontId="18" fillId="0" borderId="16" xfId="0" applyNumberFormat="1" applyFont="1" applyBorder="1" applyAlignment="1">
      <alignment horizontal="center" vertical="center" wrapText="1"/>
    </xf>
    <xf numFmtId="164" fontId="18" fillId="0" borderId="17" xfId="0" applyNumberFormat="1" applyFont="1" applyBorder="1" applyAlignment="1">
      <alignment horizontal="center" vertical="center" wrapText="1"/>
    </xf>
    <xf numFmtId="164" fontId="18" fillId="0" borderId="14" xfId="0" applyNumberFormat="1" applyFont="1" applyBorder="1" applyAlignment="1">
      <alignment horizontal="center" vertical="center" wrapText="1"/>
    </xf>
    <xf numFmtId="164" fontId="18" fillId="0" borderId="19" xfId="0" applyNumberFormat="1" applyFont="1" applyBorder="1" applyAlignment="1">
      <alignment horizontal="center" vertical="center" wrapText="1"/>
    </xf>
    <xf numFmtId="49" fontId="18" fillId="0" borderId="0" xfId="0" applyNumberFormat="1" applyFont="1" applyAlignment="1">
      <alignment vertical="top" wrapText="1"/>
    </xf>
    <xf numFmtId="164" fontId="18" fillId="0" borderId="33" xfId="0" applyNumberFormat="1" applyFont="1" applyBorder="1" applyAlignment="1">
      <alignment horizontal="center" vertical="center" wrapText="1"/>
    </xf>
    <xf numFmtId="164" fontId="18" fillId="0" borderId="29" xfId="0" applyNumberFormat="1" applyFont="1" applyBorder="1" applyAlignment="1">
      <alignment horizontal="center" vertical="center" wrapText="1"/>
    </xf>
    <xf numFmtId="164" fontId="18" fillId="0" borderId="31" xfId="0" applyNumberFormat="1" applyFont="1" applyBorder="1" applyAlignment="1">
      <alignment horizontal="center" vertical="center" wrapText="1"/>
    </xf>
    <xf numFmtId="164" fontId="18" fillId="0" borderId="27" xfId="0" applyNumberFormat="1" applyFont="1" applyBorder="1" applyAlignment="1">
      <alignment horizontal="center" vertical="center" wrapText="1"/>
    </xf>
    <xf numFmtId="164" fontId="18" fillId="0" borderId="30" xfId="0" applyNumberFormat="1" applyFont="1" applyBorder="1" applyAlignment="1">
      <alignment horizontal="center" vertical="center" wrapText="1"/>
    </xf>
    <xf numFmtId="164" fontId="18" fillId="0" borderId="26" xfId="0" applyNumberFormat="1" applyFont="1" applyBorder="1" applyAlignment="1">
      <alignment horizontal="center" vertical="center" wrapText="1"/>
    </xf>
    <xf numFmtId="49" fontId="18" fillId="0" borderId="1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tabSelected="1" workbookViewId="0"/>
  </sheetViews>
  <sheetFormatPr defaultRowHeight="12.75" x14ac:dyDescent="0.2"/>
  <cols>
    <col min="1" max="1" width="4.140625" customWidth="1"/>
    <col min="2" max="2" width="151.42578125" customWidth="1"/>
  </cols>
  <sheetData>
    <row r="1" spans="1:2" ht="15" x14ac:dyDescent="0.2">
      <c r="A1" s="23"/>
      <c r="B1" s="24"/>
    </row>
    <row r="2" spans="1:2" ht="17.25" customHeight="1" x14ac:dyDescent="0.2">
      <c r="A2" s="23"/>
      <c r="B2" s="24"/>
    </row>
    <row r="3" spans="1:2" ht="15.75" x14ac:dyDescent="0.25">
      <c r="A3" s="23"/>
      <c r="B3" s="42" t="s">
        <v>454</v>
      </c>
    </row>
    <row r="4" spans="1:2" ht="22.5" customHeight="1" x14ac:dyDescent="0.25">
      <c r="A4" s="53" t="s">
        <v>448</v>
      </c>
      <c r="B4" s="53"/>
    </row>
    <row r="5" spans="1:2" ht="12" customHeight="1" x14ac:dyDescent="0.2">
      <c r="A5" s="23"/>
      <c r="B5" s="24"/>
    </row>
    <row r="6" spans="1:2" ht="84.75" customHeight="1" x14ac:dyDescent="0.2">
      <c r="A6" s="54" t="s">
        <v>373</v>
      </c>
      <c r="B6" s="54"/>
    </row>
    <row r="7" spans="1:2" ht="15" x14ac:dyDescent="0.2">
      <c r="A7" s="23"/>
      <c r="B7" s="25"/>
    </row>
    <row r="8" spans="1:2" ht="38.25" customHeight="1" x14ac:dyDescent="0.2">
      <c r="A8" s="55" t="s">
        <v>368</v>
      </c>
      <c r="B8" s="55"/>
    </row>
    <row r="9" spans="1:2" ht="15" x14ac:dyDescent="0.2">
      <c r="A9" s="23"/>
      <c r="B9" s="26"/>
    </row>
    <row r="10" spans="1:2" ht="15" x14ac:dyDescent="0.2">
      <c r="A10" s="27" t="s">
        <v>358</v>
      </c>
      <c r="B10" s="25" t="s">
        <v>359</v>
      </c>
    </row>
    <row r="11" spans="1:2" ht="15" x14ac:dyDescent="0.2">
      <c r="A11" s="27" t="s">
        <v>360</v>
      </c>
      <c r="B11" s="25" t="s">
        <v>361</v>
      </c>
    </row>
    <row r="12" spans="1:2" ht="15" x14ac:dyDescent="0.2">
      <c r="A12" s="27" t="s">
        <v>362</v>
      </c>
      <c r="B12" s="28" t="s">
        <v>363</v>
      </c>
    </row>
    <row r="13" spans="1:2" ht="30" x14ac:dyDescent="0.2">
      <c r="A13" s="29" t="s">
        <v>364</v>
      </c>
      <c r="B13" s="25" t="s">
        <v>369</v>
      </c>
    </row>
    <row r="14" spans="1:2" ht="15" x14ac:dyDescent="0.2">
      <c r="A14" s="27" t="s">
        <v>365</v>
      </c>
      <c r="B14" s="25" t="s">
        <v>370</v>
      </c>
    </row>
    <row r="15" spans="1:2" ht="15" x14ac:dyDescent="0.2">
      <c r="A15" s="27" t="s">
        <v>366</v>
      </c>
      <c r="B15" s="25" t="s">
        <v>371</v>
      </c>
    </row>
    <row r="16" spans="1:2" ht="15" x14ac:dyDescent="0.2">
      <c r="A16" s="27" t="s">
        <v>367</v>
      </c>
      <c r="B16" s="25" t="s">
        <v>372</v>
      </c>
    </row>
    <row r="17" spans="1:1" x14ac:dyDescent="0.2">
      <c r="A17" s="23"/>
    </row>
  </sheetData>
  <mergeCells count="3">
    <mergeCell ref="A4:B4"/>
    <mergeCell ref="A6:B6"/>
    <mergeCell ref="A8:B8"/>
  </mergeCells>
  <pageMargins left="0.7" right="0.7" top="0.75" bottom="0.75" header="0.3" footer="0.3"/>
  <pageSetup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162</v>
      </c>
      <c r="B1" s="8"/>
      <c r="C1" s="8"/>
      <c r="D1" s="8"/>
      <c r="E1" s="8"/>
      <c r="F1" s="8"/>
      <c r="G1" s="10" t="s">
        <v>163</v>
      </c>
    </row>
    <row r="2" spans="1:7" x14ac:dyDescent="0.2">
      <c r="A2" s="11" t="s">
        <v>164</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251981</v>
      </c>
      <c r="C6" s="15">
        <v>0</v>
      </c>
      <c r="D6" s="15">
        <v>256287</v>
      </c>
      <c r="E6" s="15">
        <v>256287</v>
      </c>
      <c r="F6" s="15">
        <v>256694</v>
      </c>
      <c r="G6" s="16">
        <f>IF(AND(F65&lt;&gt;5000,256694&lt;&gt;0),IF(100*256694/(F65-5000)&lt;0.005,"*",100*256694/(F65-5000)),0)</f>
        <v>1.619029994824281</v>
      </c>
    </row>
    <row r="7" spans="1:7" x14ac:dyDescent="0.2">
      <c r="A7" s="9" t="s">
        <v>95</v>
      </c>
      <c r="B7" s="15">
        <v>43993</v>
      </c>
      <c r="C7" s="15">
        <v>0</v>
      </c>
      <c r="D7" s="15">
        <v>45669</v>
      </c>
      <c r="E7" s="15">
        <v>45669</v>
      </c>
      <c r="F7" s="15">
        <v>45595</v>
      </c>
      <c r="G7" s="16">
        <f>IF(AND(F65&lt;&gt;5000,45595&lt;&gt;0),IF(100*45595/(F65-5000)&lt;0.005,"*",100*45595/(F65-5000)),0)</f>
        <v>0.28757848883890191</v>
      </c>
    </row>
    <row r="8" spans="1:7" x14ac:dyDescent="0.2">
      <c r="A8" s="9" t="s">
        <v>96</v>
      </c>
      <c r="B8" s="15">
        <v>359591</v>
      </c>
      <c r="C8" s="15">
        <v>0</v>
      </c>
      <c r="D8" s="15">
        <v>339922</v>
      </c>
      <c r="E8" s="15">
        <v>339922</v>
      </c>
      <c r="F8" s="15">
        <v>336332</v>
      </c>
      <c r="G8" s="16">
        <f>IF(AND(F65&lt;&gt;5000,336332&lt;&gt;0),IF(100*336332/(F65-5000)&lt;0.005,"*",100*336332/(F65-5000)),0)</f>
        <v>2.1213257661622014</v>
      </c>
    </row>
    <row r="9" spans="1:7" x14ac:dyDescent="0.2">
      <c r="A9" s="9" t="s">
        <v>97</v>
      </c>
      <c r="B9" s="15">
        <v>159313</v>
      </c>
      <c r="C9" s="15">
        <v>0</v>
      </c>
      <c r="D9" s="15">
        <v>157383</v>
      </c>
      <c r="E9" s="15">
        <v>157383</v>
      </c>
      <c r="F9" s="15">
        <v>154958</v>
      </c>
      <c r="G9" s="16">
        <f>IF(AND(F65&lt;&gt;5000,154958&lt;&gt;0),IF(100*154958/(F65-5000)&lt;0.005,"*",100*154958/(F65-5000)),0)</f>
        <v>0.9773568916218569</v>
      </c>
    </row>
    <row r="10" spans="1:7" x14ac:dyDescent="0.2">
      <c r="A10" s="9" t="s">
        <v>98</v>
      </c>
      <c r="B10" s="15">
        <v>1988156</v>
      </c>
      <c r="C10" s="15">
        <v>0</v>
      </c>
      <c r="D10" s="15">
        <v>1963753</v>
      </c>
      <c r="E10" s="15">
        <v>1963753</v>
      </c>
      <c r="F10" s="15">
        <v>1961726</v>
      </c>
      <c r="G10" s="16">
        <f>IF(AND(F65&lt;&gt;5000,1961726&lt;&gt;0),IF(100*1961726/(F65-5000)&lt;0.005,"*",100*1961726/(F65-5000)),0)</f>
        <v>12.37307157793582</v>
      </c>
    </row>
    <row r="11" spans="1:7" x14ac:dyDescent="0.2">
      <c r="A11" s="9" t="s">
        <v>99</v>
      </c>
      <c r="B11" s="15">
        <v>152700</v>
      </c>
      <c r="C11" s="15">
        <v>0</v>
      </c>
      <c r="D11" s="15">
        <v>145823</v>
      </c>
      <c r="E11" s="15">
        <v>145823</v>
      </c>
      <c r="F11" s="15">
        <v>144239</v>
      </c>
      <c r="G11" s="16">
        <f>IF(AND(F65&lt;&gt;5000,144239&lt;&gt;0),IF(100*144239/(F65-5000)&lt;0.005,"*",100*144239/(F65-5000)),0)</f>
        <v>0.90974961402860788</v>
      </c>
    </row>
    <row r="12" spans="1:7" x14ac:dyDescent="0.2">
      <c r="A12" s="9" t="s">
        <v>100</v>
      </c>
      <c r="B12" s="15">
        <v>125220</v>
      </c>
      <c r="C12" s="15">
        <v>0</v>
      </c>
      <c r="D12" s="15">
        <v>130932</v>
      </c>
      <c r="E12" s="15">
        <v>130932</v>
      </c>
      <c r="F12" s="15">
        <v>131254</v>
      </c>
      <c r="G12" s="16">
        <f>IF(AND(F65&lt;&gt;5000,131254&lt;&gt;0),IF(100*131254/(F65-5000)&lt;0.005,"*",100*131254/(F65-5000)),0)</f>
        <v>0.8278501365075388</v>
      </c>
    </row>
    <row r="13" spans="1:7" x14ac:dyDescent="0.2">
      <c r="A13" s="9" t="s">
        <v>101</v>
      </c>
      <c r="B13" s="15">
        <v>51200</v>
      </c>
      <c r="C13" s="15">
        <v>0</v>
      </c>
      <c r="D13" s="15">
        <v>52020</v>
      </c>
      <c r="E13" s="15">
        <v>52020</v>
      </c>
      <c r="F13" s="15">
        <v>52070</v>
      </c>
      <c r="G13" s="16">
        <f>IF(AND(F65&lt;&gt;5000,52070&lt;&gt;0),IF(100*52070/(F65-5000)&lt;0.005,"*",100*52070/(F65-5000)),0)</f>
        <v>0.32841785094509535</v>
      </c>
    </row>
    <row r="14" spans="1:7" x14ac:dyDescent="0.2">
      <c r="A14" s="9" t="s">
        <v>102</v>
      </c>
      <c r="B14" s="15">
        <v>50946</v>
      </c>
      <c r="C14" s="15">
        <v>0</v>
      </c>
      <c r="D14" s="15">
        <v>50863</v>
      </c>
      <c r="E14" s="15">
        <v>50863</v>
      </c>
      <c r="F14" s="15">
        <v>51315</v>
      </c>
      <c r="G14" s="16">
        <f>IF(AND(F65&lt;&gt;5000,51315&lt;&gt;0),IF(100*51315/(F65-5000)&lt;0.005,"*",100*51315/(F65-5000)),0)</f>
        <v>0.32365588671495238</v>
      </c>
    </row>
    <row r="15" spans="1:7" x14ac:dyDescent="0.2">
      <c r="A15" s="9" t="s">
        <v>103</v>
      </c>
      <c r="B15" s="15">
        <v>853680</v>
      </c>
      <c r="C15" s="15">
        <v>0</v>
      </c>
      <c r="D15" s="15">
        <v>899440</v>
      </c>
      <c r="E15" s="15">
        <v>899440</v>
      </c>
      <c r="F15" s="15">
        <v>906152</v>
      </c>
      <c r="G15" s="16">
        <f>IF(AND(F65&lt;&gt;5000,906152&lt;&gt;0),IF(100*906152/(F65-5000)&lt;0.005,"*",100*906152/(F65-5000)),0)</f>
        <v>5.7153157762550428</v>
      </c>
    </row>
    <row r="16" spans="1:7" x14ac:dyDescent="0.2">
      <c r="A16" s="9" t="s">
        <v>104</v>
      </c>
      <c r="B16" s="15">
        <v>533668</v>
      </c>
      <c r="C16" s="15">
        <v>0</v>
      </c>
      <c r="D16" s="15">
        <v>537284</v>
      </c>
      <c r="E16" s="15">
        <v>537284</v>
      </c>
      <c r="F16" s="15">
        <v>538193</v>
      </c>
      <c r="G16" s="16">
        <f>IF(AND(F65&lt;&gt;5000,538193&lt;&gt;0),IF(100*538193/(F65-5000)&lt;0.005,"*",100*538193/(F65-5000)),0)</f>
        <v>3.3945110131302805</v>
      </c>
    </row>
    <row r="17" spans="1:7" x14ac:dyDescent="0.2">
      <c r="A17" s="9" t="s">
        <v>105</v>
      </c>
      <c r="B17" s="15">
        <v>49811</v>
      </c>
      <c r="C17" s="15">
        <v>0</v>
      </c>
      <c r="D17" s="15">
        <v>51171</v>
      </c>
      <c r="E17" s="15">
        <v>51171</v>
      </c>
      <c r="F17" s="15">
        <v>51359</v>
      </c>
      <c r="G17" s="16">
        <f>IF(AND(F65&lt;&gt;5000,51359&lt;&gt;0),IF(100*51359/(F65-5000)&lt;0.005,"*",100*51359/(F65-5000)),0)</f>
        <v>0.32393340516015273</v>
      </c>
    </row>
    <row r="18" spans="1:7" x14ac:dyDescent="0.2">
      <c r="A18" s="9" t="s">
        <v>106</v>
      </c>
      <c r="B18" s="15">
        <v>59493</v>
      </c>
      <c r="C18" s="15">
        <v>0</v>
      </c>
      <c r="D18" s="15">
        <v>58030</v>
      </c>
      <c r="E18" s="15">
        <v>58030</v>
      </c>
      <c r="F18" s="15">
        <v>57678</v>
      </c>
      <c r="G18" s="16">
        <f>IF(AND(F65&lt;&gt;5000,57678&lt;&gt;0),IF(100*57678/(F65-5000)&lt;0.005,"*",100*57678/(F65-5000)),0)</f>
        <v>0.363788838233363</v>
      </c>
    </row>
    <row r="19" spans="1:7" x14ac:dyDescent="0.2">
      <c r="A19" s="9" t="s">
        <v>107</v>
      </c>
      <c r="B19" s="15">
        <v>678373</v>
      </c>
      <c r="C19" s="15">
        <v>0</v>
      </c>
      <c r="D19" s="15">
        <v>674483</v>
      </c>
      <c r="E19" s="15">
        <v>674483</v>
      </c>
      <c r="F19" s="15">
        <v>676906</v>
      </c>
      <c r="G19" s="16">
        <f>IF(AND(F65&lt;&gt;5000,676906&lt;&gt;0),IF(100*676906/(F65-5000)&lt;0.005,"*",100*676906/(F65-5000)),0)</f>
        <v>4.2694068333366761</v>
      </c>
    </row>
    <row r="20" spans="1:7" x14ac:dyDescent="0.2">
      <c r="A20" s="9" t="s">
        <v>108</v>
      </c>
      <c r="B20" s="15">
        <v>268365</v>
      </c>
      <c r="C20" s="15">
        <v>0</v>
      </c>
      <c r="D20" s="15">
        <v>258100</v>
      </c>
      <c r="E20" s="15">
        <v>258100</v>
      </c>
      <c r="F20" s="15">
        <v>256267</v>
      </c>
      <c r="G20" s="16">
        <f>IF(AND(F65&lt;&gt;5000,256267&lt;&gt;0),IF(100*256267/(F65-5000)&lt;0.005,"*",100*256267/(F65-5000)),0)</f>
        <v>1.616336804458359</v>
      </c>
    </row>
    <row r="21" spans="1:7" x14ac:dyDescent="0.2">
      <c r="A21" s="9" t="s">
        <v>109</v>
      </c>
      <c r="B21" s="15">
        <v>97623</v>
      </c>
      <c r="C21" s="15">
        <v>0</v>
      </c>
      <c r="D21" s="15">
        <v>88080</v>
      </c>
      <c r="E21" s="15">
        <v>88080</v>
      </c>
      <c r="F21" s="15">
        <v>86312</v>
      </c>
      <c r="G21" s="16">
        <f>IF(AND(F65&lt;&gt;5000,86312&lt;&gt;0),IF(100*86312/(F65-5000)&lt;0.005,"*",100*86312/(F65-5000)),0)</f>
        <v>0.54439027368490633</v>
      </c>
    </row>
    <row r="22" spans="1:7" x14ac:dyDescent="0.2">
      <c r="A22" s="9" t="s">
        <v>110</v>
      </c>
      <c r="B22" s="15">
        <v>98754</v>
      </c>
      <c r="C22" s="15">
        <v>0</v>
      </c>
      <c r="D22" s="15">
        <v>100347</v>
      </c>
      <c r="E22" s="15">
        <v>100347</v>
      </c>
      <c r="F22" s="15">
        <v>99793</v>
      </c>
      <c r="G22" s="16">
        <f>IF(AND(F65&lt;&gt;5000,99793&lt;&gt;0),IF(100*99793/(F65-5000)&lt;0.005,"*",100*99793/(F65-5000)),0)</f>
        <v>0.62941814095187065</v>
      </c>
    </row>
    <row r="23" spans="1:7" x14ac:dyDescent="0.2">
      <c r="A23" s="9" t="s">
        <v>111</v>
      </c>
      <c r="B23" s="15">
        <v>238513</v>
      </c>
      <c r="C23" s="15">
        <v>0</v>
      </c>
      <c r="D23" s="15">
        <v>228685</v>
      </c>
      <c r="E23" s="15">
        <v>228685</v>
      </c>
      <c r="F23" s="15">
        <v>225728</v>
      </c>
      <c r="G23" s="16">
        <f>IF(AND(F65&lt;&gt;5000,225728&lt;&gt;0),IF(100*225728/(F65-5000)&lt;0.005,"*",100*225728/(F65-5000)),0)</f>
        <v>1.4237200817771172</v>
      </c>
    </row>
    <row r="24" spans="1:7" x14ac:dyDescent="0.2">
      <c r="A24" s="9" t="s">
        <v>112</v>
      </c>
      <c r="B24" s="15">
        <v>338910</v>
      </c>
      <c r="C24" s="15">
        <v>0</v>
      </c>
      <c r="D24" s="15">
        <v>341542</v>
      </c>
      <c r="E24" s="15">
        <v>341542</v>
      </c>
      <c r="F24" s="15">
        <v>339916</v>
      </c>
      <c r="G24" s="16">
        <f>IF(AND(F65&lt;&gt;5000,339916&lt;&gt;0),IF(100*339916/(F65-5000)&lt;0.005,"*",100*339916/(F65-5000)),0)</f>
        <v>2.1439309049712509</v>
      </c>
    </row>
    <row r="25" spans="1:7" x14ac:dyDescent="0.2">
      <c r="A25" s="9" t="s">
        <v>113</v>
      </c>
      <c r="B25" s="15">
        <v>55038</v>
      </c>
      <c r="C25" s="15">
        <v>0</v>
      </c>
      <c r="D25" s="15">
        <v>53220</v>
      </c>
      <c r="E25" s="15">
        <v>53220</v>
      </c>
      <c r="F25" s="15">
        <v>52424</v>
      </c>
      <c r="G25" s="16">
        <f>IF(AND(F65&lt;&gt;5000,52424&lt;&gt;0),IF(100*52424/(F65-5000)&lt;0.005,"*",100*52424/(F65-5000)),0)</f>
        <v>0.3306506129814803</v>
      </c>
    </row>
    <row r="26" spans="1:7" x14ac:dyDescent="0.2">
      <c r="A26" s="9" t="s">
        <v>114</v>
      </c>
      <c r="B26" s="15">
        <v>239062</v>
      </c>
      <c r="C26" s="15">
        <v>0</v>
      </c>
      <c r="D26" s="15">
        <v>242398</v>
      </c>
      <c r="E26" s="15">
        <v>242398</v>
      </c>
      <c r="F26" s="15">
        <v>244493</v>
      </c>
      <c r="G26" s="16">
        <f>IF(AND(F65&lt;&gt;5000,244493&lt;&gt;0),IF(100*244493/(F65-5000)&lt;0.005,"*",100*244493/(F65-5000)),0)</f>
        <v>1.5420753914176917</v>
      </c>
    </row>
    <row r="27" spans="1:7" x14ac:dyDescent="0.2">
      <c r="A27" s="9" t="s">
        <v>115</v>
      </c>
      <c r="B27" s="15">
        <v>237537</v>
      </c>
      <c r="C27" s="15">
        <v>0</v>
      </c>
      <c r="D27" s="15">
        <v>253216</v>
      </c>
      <c r="E27" s="15">
        <v>253216</v>
      </c>
      <c r="F27" s="15">
        <v>254427</v>
      </c>
      <c r="G27" s="16">
        <f>IF(AND(F65&lt;&gt;5000,254427&lt;&gt;0),IF(100*254427/(F65-5000)&lt;0.005,"*",100*254427/(F65-5000)),0)</f>
        <v>1.6047314876590701</v>
      </c>
    </row>
    <row r="28" spans="1:7" x14ac:dyDescent="0.2">
      <c r="A28" s="9" t="s">
        <v>116</v>
      </c>
      <c r="B28" s="15">
        <v>488199</v>
      </c>
      <c r="C28" s="15">
        <v>0</v>
      </c>
      <c r="D28" s="15">
        <v>469816</v>
      </c>
      <c r="E28" s="15">
        <v>469816</v>
      </c>
      <c r="F28" s="15">
        <v>465877</v>
      </c>
      <c r="G28" s="16">
        <f>IF(AND(F65&lt;&gt;5000,465877&lt;&gt;0),IF(100*465877/(F65-5000)&lt;0.005,"*",100*465877/(F65-5000)),0)</f>
        <v>2.9383968339686612</v>
      </c>
    </row>
    <row r="29" spans="1:7" x14ac:dyDescent="0.2">
      <c r="A29" s="9" t="s">
        <v>117</v>
      </c>
      <c r="B29" s="15">
        <v>169612</v>
      </c>
      <c r="C29" s="15">
        <v>0</v>
      </c>
      <c r="D29" s="15">
        <v>167320</v>
      </c>
      <c r="E29" s="15">
        <v>167320</v>
      </c>
      <c r="F29" s="15">
        <v>167496</v>
      </c>
      <c r="G29" s="16">
        <f>IF(AND(F65&lt;&gt;5000,167496&lt;&gt;0),IF(100*167496/(F65-5000)&lt;0.005,"*",100*167496/(F65-5000)),0)</f>
        <v>1.0564370340291855</v>
      </c>
    </row>
    <row r="30" spans="1:7" x14ac:dyDescent="0.2">
      <c r="A30" s="9" t="s">
        <v>118</v>
      </c>
      <c r="B30" s="15">
        <v>209581</v>
      </c>
      <c r="C30" s="15">
        <v>0</v>
      </c>
      <c r="D30" s="15">
        <v>205853</v>
      </c>
      <c r="E30" s="15">
        <v>205853</v>
      </c>
      <c r="F30" s="15">
        <v>203775</v>
      </c>
      <c r="G30" s="16">
        <f>IF(AND(F65&lt;&gt;5000,203775&lt;&gt;0),IF(100*203775/(F65-5000)&lt;0.005,"*",100*203775/(F65-5000)),0)</f>
        <v>1.2852572993342963</v>
      </c>
    </row>
    <row r="31" spans="1:7" x14ac:dyDescent="0.2">
      <c r="A31" s="9" t="s">
        <v>119</v>
      </c>
      <c r="B31" s="15">
        <v>243692</v>
      </c>
      <c r="C31" s="15">
        <v>0</v>
      </c>
      <c r="D31" s="15">
        <v>248725</v>
      </c>
      <c r="E31" s="15">
        <v>248725</v>
      </c>
      <c r="F31" s="15">
        <v>248134</v>
      </c>
      <c r="G31" s="16">
        <f>IF(AND(F65&lt;&gt;5000,248134&lt;&gt;0),IF(100*248134/(F65-5000)&lt;0.005,"*",100*248134/(F65-5000)),0)</f>
        <v>1.5650400427580238</v>
      </c>
    </row>
    <row r="32" spans="1:7" x14ac:dyDescent="0.2">
      <c r="A32" s="9" t="s">
        <v>120</v>
      </c>
      <c r="B32" s="15">
        <v>48712</v>
      </c>
      <c r="C32" s="15">
        <v>0</v>
      </c>
      <c r="D32" s="15">
        <v>48946</v>
      </c>
      <c r="E32" s="15">
        <v>48946</v>
      </c>
      <c r="F32" s="15">
        <v>48946</v>
      </c>
      <c r="G32" s="16">
        <f>IF(AND(F65&lt;&gt;5000,48946&lt;&gt;0),IF(100*48946/(F65-5000)&lt;0.005,"*",100*48946/(F65-5000)),0)</f>
        <v>0.30871404133586783</v>
      </c>
    </row>
    <row r="33" spans="1:7" x14ac:dyDescent="0.2">
      <c r="A33" s="9" t="s">
        <v>121</v>
      </c>
      <c r="B33" s="15">
        <v>73854</v>
      </c>
      <c r="C33" s="15">
        <v>0</v>
      </c>
      <c r="D33" s="15">
        <v>77655</v>
      </c>
      <c r="E33" s="15">
        <v>77655</v>
      </c>
      <c r="F33" s="15">
        <v>77976</v>
      </c>
      <c r="G33" s="16">
        <f>IF(AND(F65&lt;&gt;5000,77976&lt;&gt;0),IF(100*77976/(F65-5000)&lt;0.005,"*",100*77976/(F65-5000)),0)</f>
        <v>0.49181314279421467</v>
      </c>
    </row>
    <row r="34" spans="1:7" x14ac:dyDescent="0.2">
      <c r="A34" s="9" t="s">
        <v>122</v>
      </c>
      <c r="B34" s="15">
        <v>129670</v>
      </c>
      <c r="C34" s="15">
        <v>0</v>
      </c>
      <c r="D34" s="15">
        <v>136146</v>
      </c>
      <c r="E34" s="15">
        <v>136146</v>
      </c>
      <c r="F34" s="15">
        <v>137258</v>
      </c>
      <c r="G34" s="16">
        <f>IF(AND(F65&lt;&gt;5000,137258&lt;&gt;0),IF(100*137258/(F65-5000)&lt;0.005,"*",100*137258/(F65-5000)),0)</f>
        <v>0.86571878980260997</v>
      </c>
    </row>
    <row r="35" spans="1:7" x14ac:dyDescent="0.2">
      <c r="A35" s="9" t="s">
        <v>123</v>
      </c>
      <c r="B35" s="15">
        <v>39758</v>
      </c>
      <c r="C35" s="15">
        <v>0</v>
      </c>
      <c r="D35" s="15">
        <v>44582</v>
      </c>
      <c r="E35" s="15">
        <v>44582</v>
      </c>
      <c r="F35" s="15">
        <v>44582</v>
      </c>
      <c r="G35" s="16">
        <f>IF(AND(F65&lt;&gt;5000,44582&lt;&gt;0),IF(100*44582/(F65-5000)&lt;0.005,"*",100*44582/(F65-5000)),0)</f>
        <v>0.28118925736190209</v>
      </c>
    </row>
    <row r="36" spans="1:7" x14ac:dyDescent="0.2">
      <c r="A36" s="9" t="s">
        <v>124</v>
      </c>
      <c r="B36" s="15">
        <v>362319</v>
      </c>
      <c r="C36" s="15">
        <v>0</v>
      </c>
      <c r="D36" s="15">
        <v>366077</v>
      </c>
      <c r="E36" s="15">
        <v>366077</v>
      </c>
      <c r="F36" s="15">
        <v>366891</v>
      </c>
      <c r="G36" s="16">
        <f>IF(AND(F65&lt;&gt;5000,366891&lt;&gt;0),IF(100*366891/(F65-5000)&lt;0.005,"*",100*366891/(F65-5000)),0)</f>
        <v>2.3140686335912615</v>
      </c>
    </row>
    <row r="37" spans="1:7" x14ac:dyDescent="0.2">
      <c r="A37" s="9" t="s">
        <v>125</v>
      </c>
      <c r="B37" s="15">
        <v>129098</v>
      </c>
      <c r="C37" s="15">
        <v>0</v>
      </c>
      <c r="D37" s="15">
        <v>129906</v>
      </c>
      <c r="E37" s="15">
        <v>129906</v>
      </c>
      <c r="F37" s="15">
        <v>127986</v>
      </c>
      <c r="G37" s="16">
        <f>IF(AND(F65&lt;&gt;5000,127986&lt;&gt;0),IF(100*127986/(F65-5000)&lt;0.005,"*",100*127986/(F65-5000)),0)</f>
        <v>0.80723808471401914</v>
      </c>
    </row>
    <row r="38" spans="1:7" x14ac:dyDescent="0.2">
      <c r="A38" s="9" t="s">
        <v>126</v>
      </c>
      <c r="B38" s="15">
        <v>1213916</v>
      </c>
      <c r="C38" s="15">
        <v>0</v>
      </c>
      <c r="D38" s="15">
        <v>1219769</v>
      </c>
      <c r="E38" s="15">
        <v>1219769</v>
      </c>
      <c r="F38" s="15">
        <v>1224057</v>
      </c>
      <c r="G38" s="16">
        <f>IF(AND(F65&lt;&gt;5000,1224057&lt;&gt;0),IF(100*1224057/(F65-5000)&lt;0.005,"*",100*1224057/(F65-5000)),0)</f>
        <v>7.7204180790147996</v>
      </c>
    </row>
    <row r="39" spans="1:7" x14ac:dyDescent="0.2">
      <c r="A39" s="9" t="s">
        <v>127</v>
      </c>
      <c r="B39" s="15">
        <v>451219</v>
      </c>
      <c r="C39" s="15">
        <v>0</v>
      </c>
      <c r="D39" s="15">
        <v>465918</v>
      </c>
      <c r="E39" s="15">
        <v>465918</v>
      </c>
      <c r="F39" s="15">
        <v>466316</v>
      </c>
      <c r="G39" s="16">
        <f>IF(AND(F65&lt;&gt;5000,466316&lt;&gt;0),IF(100*466316/(F65-5000)&lt;0.005,"*",100*466316/(F65-5000)),0)</f>
        <v>2.9411657111832743</v>
      </c>
    </row>
    <row r="40" spans="1:7" x14ac:dyDescent="0.2">
      <c r="A40" s="9" t="s">
        <v>128</v>
      </c>
      <c r="B40" s="15">
        <v>38361</v>
      </c>
      <c r="C40" s="15">
        <v>0</v>
      </c>
      <c r="D40" s="15">
        <v>39503</v>
      </c>
      <c r="E40" s="15">
        <v>39503</v>
      </c>
      <c r="F40" s="15">
        <v>39503</v>
      </c>
      <c r="G40" s="16">
        <f>IF(AND(F65&lt;&gt;5000,39503&lt;&gt;0),IF(100*39503/(F65-5000)&lt;0.005,"*",100*39503/(F65-5000)),0)</f>
        <v>0.24915479865343004</v>
      </c>
    </row>
    <row r="41" spans="1:7" x14ac:dyDescent="0.2">
      <c r="A41" s="9" t="s">
        <v>129</v>
      </c>
      <c r="B41" s="15">
        <v>556646</v>
      </c>
      <c r="C41" s="15">
        <v>0</v>
      </c>
      <c r="D41" s="15">
        <v>581305</v>
      </c>
      <c r="E41" s="15">
        <v>581305</v>
      </c>
      <c r="F41" s="15">
        <v>581230</v>
      </c>
      <c r="G41" s="16">
        <f>IF(AND(F65&lt;&gt;5000,581230&lt;&gt;0),IF(100*581230/(F65-5000)&lt;0.005,"*",100*581230/(F65-5000)),0)</f>
        <v>3.6659555887232145</v>
      </c>
    </row>
    <row r="42" spans="1:7" x14ac:dyDescent="0.2">
      <c r="A42" s="9" t="s">
        <v>130</v>
      </c>
      <c r="B42" s="15">
        <v>188010</v>
      </c>
      <c r="C42" s="15">
        <v>0</v>
      </c>
      <c r="D42" s="15">
        <v>191580</v>
      </c>
      <c r="E42" s="15">
        <v>191580</v>
      </c>
      <c r="F42" s="15">
        <v>191524</v>
      </c>
      <c r="G42" s="16">
        <f>IF(AND(F65&lt;&gt;5000,191524&lt;&gt;0),IF(100*191524/(F65-5000)&lt;0.005,"*",100*191524/(F65-5000)),0)</f>
        <v>1.2079873340581611</v>
      </c>
    </row>
    <row r="43" spans="1:7" x14ac:dyDescent="0.2">
      <c r="A43" s="9" t="s">
        <v>131</v>
      </c>
      <c r="B43" s="15">
        <v>147031</v>
      </c>
      <c r="C43" s="15">
        <v>0</v>
      </c>
      <c r="D43" s="15">
        <v>146067</v>
      </c>
      <c r="E43" s="15">
        <v>146067</v>
      </c>
      <c r="F43" s="15">
        <v>145835</v>
      </c>
      <c r="G43" s="16">
        <f>IF(AND(F65&lt;&gt;5000,145835&lt;&gt;0),IF(100*145835/(F65-5000)&lt;0.005,"*",100*145835/(F65-5000)),0)</f>
        <v>0.91981596490451289</v>
      </c>
    </row>
    <row r="44" spans="1:7" x14ac:dyDescent="0.2">
      <c r="A44" s="9" t="s">
        <v>132</v>
      </c>
      <c r="B44" s="15">
        <v>644635</v>
      </c>
      <c r="C44" s="15">
        <v>0</v>
      </c>
      <c r="D44" s="15">
        <v>630584</v>
      </c>
      <c r="E44" s="15">
        <v>630584</v>
      </c>
      <c r="F44" s="15">
        <v>622183</v>
      </c>
      <c r="G44" s="16">
        <f>IF(AND(F65&lt;&gt;5000,622183&lt;&gt;0),IF(100*622183/(F65-5000)&lt;0.005,"*",100*622183/(F65-5000)),0)</f>
        <v>3.9242558815934756</v>
      </c>
    </row>
    <row r="45" spans="1:7" x14ac:dyDescent="0.2">
      <c r="A45" s="9" t="s">
        <v>133</v>
      </c>
      <c r="B45" s="15">
        <v>52883</v>
      </c>
      <c r="C45" s="15">
        <v>0</v>
      </c>
      <c r="D45" s="15">
        <v>53635</v>
      </c>
      <c r="E45" s="15">
        <v>53635</v>
      </c>
      <c r="F45" s="15">
        <v>53779</v>
      </c>
      <c r="G45" s="16">
        <f>IF(AND(F65&lt;&gt;5000,53779&lt;&gt;0),IF(100*53779/(F65-5000)&lt;0.005,"*",100*53779/(F65-5000)),0)</f>
        <v>0.3391969196461741</v>
      </c>
    </row>
    <row r="46" spans="1:7" x14ac:dyDescent="0.2">
      <c r="A46" s="9" t="s">
        <v>134</v>
      </c>
      <c r="B46" s="15">
        <v>243788</v>
      </c>
      <c r="C46" s="15">
        <v>0</v>
      </c>
      <c r="D46" s="15">
        <v>254610</v>
      </c>
      <c r="E46" s="15">
        <v>254610</v>
      </c>
      <c r="F46" s="15">
        <v>255159</v>
      </c>
      <c r="G46" s="16">
        <f>IF(AND(F65&lt;&gt;5000,255159&lt;&gt;0),IF(100*255159/(F65-5000)&lt;0.005,"*",100*255159/(F65-5000)),0)</f>
        <v>1.6093483854292221</v>
      </c>
    </row>
    <row r="47" spans="1:7" x14ac:dyDescent="0.2">
      <c r="A47" s="9" t="s">
        <v>135</v>
      </c>
      <c r="B47" s="15">
        <v>48573</v>
      </c>
      <c r="C47" s="15">
        <v>0</v>
      </c>
      <c r="D47" s="15">
        <v>48946</v>
      </c>
      <c r="E47" s="15">
        <v>48946</v>
      </c>
      <c r="F47" s="15">
        <v>48946</v>
      </c>
      <c r="G47" s="16">
        <f>IF(AND(F65&lt;&gt;5000,48946&lt;&gt;0),IF(100*48946/(F65-5000)&lt;0.005,"*",100*48946/(F65-5000)),0)</f>
        <v>0.30871404133586783</v>
      </c>
    </row>
    <row r="48" spans="1:7" x14ac:dyDescent="0.2">
      <c r="A48" s="9" t="s">
        <v>136</v>
      </c>
      <c r="B48" s="15">
        <v>309747</v>
      </c>
      <c r="C48" s="15">
        <v>0</v>
      </c>
      <c r="D48" s="15">
        <v>308792</v>
      </c>
      <c r="E48" s="15">
        <v>308792</v>
      </c>
      <c r="F48" s="15">
        <v>309388</v>
      </c>
      <c r="G48" s="16">
        <f>IF(AND(F65&lt;&gt;5000,309388&lt;&gt;0),IF(100*309388/(F65-5000)&lt;0.005,"*",100*309388/(F65-5000)),0)</f>
        <v>1.9513835619013091</v>
      </c>
    </row>
    <row r="49" spans="1:7" x14ac:dyDescent="0.2">
      <c r="A49" s="9" t="s">
        <v>137</v>
      </c>
      <c r="B49" s="15">
        <v>1511186</v>
      </c>
      <c r="C49" s="15">
        <v>0</v>
      </c>
      <c r="D49" s="15">
        <v>1511836</v>
      </c>
      <c r="E49" s="15">
        <v>1511836</v>
      </c>
      <c r="F49" s="15">
        <v>1517927</v>
      </c>
      <c r="G49" s="16">
        <f>IF(AND(F65&lt;&gt;5000,1517927&lt;&gt;0),IF(100*1517927/(F65-5000)&lt;0.005,"*",100*1517927/(F65-5000)),0)</f>
        <v>9.5739259310838438</v>
      </c>
    </row>
    <row r="50" spans="1:7" x14ac:dyDescent="0.2">
      <c r="A50" s="9" t="s">
        <v>138</v>
      </c>
      <c r="B50" s="15">
        <v>81378</v>
      </c>
      <c r="C50" s="15">
        <v>0</v>
      </c>
      <c r="D50" s="15">
        <v>81859</v>
      </c>
      <c r="E50" s="15">
        <v>81859</v>
      </c>
      <c r="F50" s="15">
        <v>82040</v>
      </c>
      <c r="G50" s="16">
        <f>IF(AND(F65&lt;&gt;5000,82040&lt;&gt;0),IF(100*82040/(F65-5000)&lt;0.005,"*",100*82040/(F65-5000)),0)</f>
        <v>0.517445755550905</v>
      </c>
    </row>
    <row r="51" spans="1:7" x14ac:dyDescent="0.2">
      <c r="A51" s="9" t="s">
        <v>139</v>
      </c>
      <c r="B51" s="15">
        <v>36687</v>
      </c>
      <c r="C51" s="15">
        <v>0</v>
      </c>
      <c r="D51" s="15">
        <v>36867</v>
      </c>
      <c r="E51" s="15">
        <v>36867</v>
      </c>
      <c r="F51" s="15">
        <v>36867</v>
      </c>
      <c r="G51" s="16">
        <f>IF(AND(F65&lt;&gt;5000,36867&lt;&gt;0),IF(100*36867/(F65-5000)&lt;0.005,"*",100*36867/(F65-5000)),0)</f>
        <v>0.23252892089097044</v>
      </c>
    </row>
    <row r="52" spans="1:7" x14ac:dyDescent="0.2">
      <c r="A52" s="9" t="s">
        <v>140</v>
      </c>
      <c r="B52" s="15">
        <v>266414</v>
      </c>
      <c r="C52" s="15">
        <v>0</v>
      </c>
      <c r="D52" s="15">
        <v>279184</v>
      </c>
      <c r="E52" s="15">
        <v>279184</v>
      </c>
      <c r="F52" s="15">
        <v>281063</v>
      </c>
      <c r="G52" s="16">
        <f>IF(AND(F65&lt;&gt;5000,281063&lt;&gt;0),IF(100*281063/(F65-5000)&lt;0.005,"*",100*281063/(F65-5000)),0)</f>
        <v>1.7727310628035595</v>
      </c>
    </row>
    <row r="53" spans="1:7" x14ac:dyDescent="0.2">
      <c r="A53" s="9" t="s">
        <v>141</v>
      </c>
      <c r="B53" s="15">
        <v>228027</v>
      </c>
      <c r="C53" s="15">
        <v>0</v>
      </c>
      <c r="D53" s="15">
        <v>256793</v>
      </c>
      <c r="E53" s="15">
        <v>256793</v>
      </c>
      <c r="F53" s="15">
        <v>257637</v>
      </c>
      <c r="G53" s="16">
        <f>IF(AND(F65&lt;&gt;5000,257637&lt;&gt;0),IF(100*257637/(F65-5000)&lt;0.005,"*",100*257637/(F65-5000)),0)</f>
        <v>1.6249777196839166</v>
      </c>
    </row>
    <row r="54" spans="1:7" x14ac:dyDescent="0.2">
      <c r="A54" s="9" t="s">
        <v>142</v>
      </c>
      <c r="B54" s="15">
        <v>97078</v>
      </c>
      <c r="C54" s="15">
        <v>0</v>
      </c>
      <c r="D54" s="15">
        <v>100858</v>
      </c>
      <c r="E54" s="15">
        <v>100858</v>
      </c>
      <c r="F54" s="15">
        <v>101595</v>
      </c>
      <c r="G54" s="16">
        <f>IF(AND(F65&lt;&gt;5000,101595&lt;&gt;0),IF(100*101595/(F65-5000)&lt;0.005,"*",100*101595/(F65-5000)),0)</f>
        <v>0.64078378273030467</v>
      </c>
    </row>
    <row r="55" spans="1:7" x14ac:dyDescent="0.2">
      <c r="A55" s="9" t="s">
        <v>143</v>
      </c>
      <c r="B55" s="15">
        <v>207351</v>
      </c>
      <c r="C55" s="15">
        <v>0</v>
      </c>
      <c r="D55" s="15">
        <v>204967</v>
      </c>
      <c r="E55" s="15">
        <v>204967</v>
      </c>
      <c r="F55" s="15">
        <v>205389</v>
      </c>
      <c r="G55" s="16">
        <f>IF(AND(F65&lt;&gt;5000,205389&lt;&gt;0),IF(100*205389/(F65-5000)&lt;0.005,"*",100*205389/(F65-5000)),0)</f>
        <v>1.2954371804832379</v>
      </c>
    </row>
    <row r="56" spans="1:7" x14ac:dyDescent="0.2">
      <c r="A56" s="9" t="s">
        <v>144</v>
      </c>
      <c r="B56" s="15">
        <v>35889</v>
      </c>
      <c r="C56" s="15">
        <v>0</v>
      </c>
      <c r="D56" s="15">
        <v>38572</v>
      </c>
      <c r="E56" s="15">
        <v>38572</v>
      </c>
      <c r="F56" s="15">
        <v>38572</v>
      </c>
      <c r="G56" s="16">
        <f>IF(AND(F65&lt;&gt;5000,38572&lt;&gt;0),IF(100*38572/(F65-5000)&lt;0.005,"*",100*38572/(F65-5000)),0)</f>
        <v>0.24328276064248547</v>
      </c>
    </row>
    <row r="57" spans="1:7" x14ac:dyDescent="0.2">
      <c r="A57" s="9" t="s">
        <v>145</v>
      </c>
      <c r="B57" s="15">
        <v>19323</v>
      </c>
      <c r="C57" s="15">
        <v>0</v>
      </c>
      <c r="D57" s="15">
        <v>19447</v>
      </c>
      <c r="E57" s="15">
        <v>19447</v>
      </c>
      <c r="F57" s="15">
        <v>19447</v>
      </c>
      <c r="G57" s="16">
        <f>IF(AND(F65&lt;&gt;5000,19447&lt;&gt;0),IF(100*19447/(F65-5000)&lt;0.005,"*",100*19447/(F65-5000)),0)</f>
        <v>0.12265684554118052</v>
      </c>
    </row>
    <row r="58" spans="1:7" x14ac:dyDescent="0.2">
      <c r="A58" s="9" t="s">
        <v>146</v>
      </c>
      <c r="B58" s="15">
        <v>20936</v>
      </c>
      <c r="C58" s="15">
        <v>0</v>
      </c>
      <c r="D58" s="15">
        <v>21071</v>
      </c>
      <c r="E58" s="15">
        <v>21071</v>
      </c>
      <c r="F58" s="15">
        <v>21071</v>
      </c>
      <c r="G58" s="16">
        <f>IF(AND(F65&lt;&gt;5000,21071&lt;&gt;0),IF(100*21071/(F65-5000)&lt;0.005,"*",100*21071/(F65-5000)),0)</f>
        <v>0.13289979906403121</v>
      </c>
    </row>
    <row r="59" spans="1:7" x14ac:dyDescent="0.2">
      <c r="A59" s="9" t="s">
        <v>147</v>
      </c>
      <c r="B59" s="15">
        <v>11680</v>
      </c>
      <c r="C59" s="15">
        <v>0</v>
      </c>
      <c r="D59" s="15">
        <v>11755</v>
      </c>
      <c r="E59" s="15">
        <v>11755</v>
      </c>
      <c r="F59" s="15">
        <v>11755</v>
      </c>
      <c r="G59" s="16">
        <f>IF(AND(F65&lt;&gt;5000,11755&lt;&gt;0),IF(100*11755/(F65-5000)&lt;0.005,"*",100*11755/(F65-5000)),0)</f>
        <v>7.4141575530239992E-2</v>
      </c>
    </row>
    <row r="60" spans="1:7" x14ac:dyDescent="0.2">
      <c r="A60" s="9" t="s">
        <v>148</v>
      </c>
      <c r="B60" s="15">
        <v>396257</v>
      </c>
      <c r="C60" s="15">
        <v>0</v>
      </c>
      <c r="D60" s="15">
        <v>405080</v>
      </c>
      <c r="E60" s="15">
        <v>405080</v>
      </c>
      <c r="F60" s="15">
        <v>408637</v>
      </c>
      <c r="G60" s="16">
        <f>IF(AND(F65&lt;&gt;5000,408637&lt;&gt;0),IF(100*408637/(F65-5000)&lt;0.005,"*",100*408637/(F65-5000)),0)</f>
        <v>2.5773705657125205</v>
      </c>
    </row>
    <row r="61" spans="1:7" x14ac:dyDescent="0.2">
      <c r="A61" s="9" t="s">
        <v>149</v>
      </c>
      <c r="B61" s="15">
        <v>1000</v>
      </c>
      <c r="C61" s="15">
        <v>0</v>
      </c>
      <c r="D61" s="15">
        <v>1000</v>
      </c>
      <c r="E61" s="15">
        <v>1000</v>
      </c>
      <c r="F61" s="15">
        <v>1000</v>
      </c>
      <c r="G61" s="16">
        <f>IF(AND(F65&lt;&gt;5000,1000&lt;&gt;0),IF(100*1000/(F65-5000)&lt;0.005,"*",100*1000/(F65-5000)),0)</f>
        <v>6.3072373909179059E-3</v>
      </c>
    </row>
    <row r="62" spans="1:7" x14ac:dyDescent="0.2">
      <c r="A62" s="9" t="s">
        <v>150</v>
      </c>
      <c r="B62" s="15">
        <v>10081</v>
      </c>
      <c r="C62" s="15">
        <v>0</v>
      </c>
      <c r="D62" s="15">
        <v>10146</v>
      </c>
      <c r="E62" s="15">
        <v>10146</v>
      </c>
      <c r="F62" s="15">
        <v>10146</v>
      </c>
      <c r="G62" s="16">
        <f>IF(AND(F65&lt;&gt;5000,10146&lt;&gt;0),IF(100*10146/(F65-5000)&lt;0.005,"*",100*10146/(F65-5000)),0)</f>
        <v>6.3993230568253082E-2</v>
      </c>
    </row>
    <row r="63" spans="1:7" x14ac:dyDescent="0.2">
      <c r="A63" s="9" t="s">
        <v>151</v>
      </c>
      <c r="B63" s="15">
        <v>110284</v>
      </c>
      <c r="C63" s="15">
        <v>0</v>
      </c>
      <c r="D63" s="15">
        <v>110984</v>
      </c>
      <c r="E63" s="15">
        <v>110984</v>
      </c>
      <c r="F63" s="15">
        <v>110984</v>
      </c>
      <c r="G63" s="16">
        <f>IF(AND(F65&lt;&gt;5000,110984&lt;&gt;0),IF(100*110984/(F65-5000)&lt;0.005,"*",100*110984/(F65-5000)),0)</f>
        <v>0.70000243459363287</v>
      </c>
    </row>
    <row r="64" spans="1:7" x14ac:dyDescent="0.2">
      <c r="A64" s="9" t="s">
        <v>152</v>
      </c>
      <c r="B64" s="15">
        <v>5000</v>
      </c>
      <c r="C64" s="15">
        <v>0</v>
      </c>
      <c r="D64" s="15">
        <v>5000</v>
      </c>
      <c r="E64" s="15">
        <v>5000</v>
      </c>
      <c r="F64" s="15">
        <v>5000</v>
      </c>
      <c r="G64" s="16">
        <v>0</v>
      </c>
    </row>
    <row r="65" spans="1:7" ht="15" customHeight="1" x14ac:dyDescent="0.2">
      <c r="A65" s="17" t="s">
        <v>93</v>
      </c>
      <c r="B65" s="18">
        <f>251981+43993+359591+159313+1988156+152700+125220+51200+50946+853680+533668+49811+59493+678373+268365+97623+98754+238513+338910+55038+239062+237537+488199+169612+209581+243692+48712+73854+129670+39758+362319+129098+1213916+451219+38361+556646+188010+147031+644635+52883+243788+48573+309747+1511186+81378+36687+266414+228027+97078+207351+35889+19323+20936+11680+396257+1000+10081+110284+5000+0</f>
        <v>15759802</v>
      </c>
      <c r="C65" s="18">
        <f>0+0+0+0+0+0+0+0+0+0+0+0+0+0+0+0+0+0+0+0+0+0+0+0+0+0+0+0+0+0+0+0+0+0+0+0+0+0+0+0+0+0+0+0+0+0+0+0+0+0+0+0+0+0+0+0+0+0+0+0</f>
        <v>0</v>
      </c>
      <c r="D65" s="18">
        <f>256287+45669+339922+157383+1963753+145823+130932+52020+50863+899440+537284+51171+58030+674483+258100+88080+100347+228685+341542+53220+242398+253216+469816+167320+205853+248725+48946+77655+136146+44582+366077+129906+1219769+465918+39503+581305+191580+146067+630584+53635+254610+48946+308792+1511836+81859+36867+279184+256793+100858+204967+38572+19447+21071+11755+405080+1000+10146+110984+5000+0</f>
        <v>15859802</v>
      </c>
      <c r="E65" s="18">
        <f>SUM(C65:D65)</f>
        <v>15859802</v>
      </c>
      <c r="F65" s="18">
        <f>256694+45595+336332+154958+1961726+144239+131254+52070+51315+906152+538193+51359+57678+676906+256267+86312+99793+225728+339916+52424+244493+254427+465877+167496+203775+248134+48946+77976+137258+44582+366891+127986+1224057+466316+39503+581230+191524+145835+622183+53779+255159+48946+309388+1517927+82040+36867+281063+257637+101595+205389+38572+19447+21071+11755+408637+1000+10146+110984+5000+0</f>
        <v>15859802</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sheetViews>
  <sheetFormatPr defaultRowHeight="12.75" x14ac:dyDescent="0.2"/>
  <cols>
    <col min="1" max="1" width="30.7109375" customWidth="1"/>
    <col min="2" max="7" width="11.7109375" customWidth="1"/>
  </cols>
  <sheetData>
    <row r="1" spans="1:7" ht="38.25" customHeight="1" x14ac:dyDescent="0.2">
      <c r="A1" s="10" t="s">
        <v>162</v>
      </c>
      <c r="B1" s="8"/>
      <c r="C1" s="8"/>
      <c r="D1" s="8"/>
      <c r="E1" s="8"/>
      <c r="F1" s="8"/>
      <c r="G1" s="10" t="s">
        <v>165</v>
      </c>
    </row>
    <row r="2" spans="1:7" x14ac:dyDescent="0.2">
      <c r="A2" s="11" t="s">
        <v>166</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32913</v>
      </c>
      <c r="C6" s="15">
        <v>0</v>
      </c>
      <c r="D6" s="15">
        <v>33637</v>
      </c>
      <c r="E6" s="15">
        <v>33637</v>
      </c>
      <c r="F6" s="15">
        <v>0</v>
      </c>
      <c r="G6" s="16">
        <f>IF(AND(F65&lt;&gt;0,0&lt;&gt;0),IF(100*0/(F65-0)&lt;0.005,"*",100*0/(F65-0)),0)</f>
        <v>0</v>
      </c>
    </row>
    <row r="7" spans="1:7" x14ac:dyDescent="0.2">
      <c r="A7" s="9" t="s">
        <v>95</v>
      </c>
      <c r="B7" s="15">
        <v>9790</v>
      </c>
      <c r="C7" s="15">
        <v>0</v>
      </c>
      <c r="D7" s="15">
        <v>9857</v>
      </c>
      <c r="E7" s="15">
        <v>9857</v>
      </c>
      <c r="F7" s="15">
        <v>0</v>
      </c>
      <c r="G7" s="16">
        <f>IF(AND(F65&lt;&gt;0,0&lt;&gt;0),IF(100*0/(F65-0)&lt;0.005,"*",100*0/(F65-0)),0)</f>
        <v>0</v>
      </c>
    </row>
    <row r="8" spans="1:7" x14ac:dyDescent="0.2">
      <c r="A8" s="9" t="s">
        <v>96</v>
      </c>
      <c r="B8" s="15">
        <v>35422</v>
      </c>
      <c r="C8" s="15">
        <v>0</v>
      </c>
      <c r="D8" s="15">
        <v>37147</v>
      </c>
      <c r="E8" s="15">
        <v>37147</v>
      </c>
      <c r="F8" s="15">
        <v>0</v>
      </c>
      <c r="G8" s="16">
        <f>IF(AND(F65&lt;&gt;0,0&lt;&gt;0),IF(100*0/(F65-0)&lt;0.005,"*",100*0/(F65-0)),0)</f>
        <v>0</v>
      </c>
    </row>
    <row r="9" spans="1:7" x14ac:dyDescent="0.2">
      <c r="A9" s="9" t="s">
        <v>97</v>
      </c>
      <c r="B9" s="15">
        <v>19979</v>
      </c>
      <c r="C9" s="15">
        <v>0</v>
      </c>
      <c r="D9" s="15">
        <v>20275</v>
      </c>
      <c r="E9" s="15">
        <v>20275</v>
      </c>
      <c r="F9" s="15">
        <v>0</v>
      </c>
      <c r="G9" s="16">
        <f>IF(AND(F65&lt;&gt;0,0&lt;&gt;0),IF(100*0/(F65-0)&lt;0.005,"*",100*0/(F65-0)),0)</f>
        <v>0</v>
      </c>
    </row>
    <row r="10" spans="1:7" x14ac:dyDescent="0.2">
      <c r="A10" s="9" t="s">
        <v>98</v>
      </c>
      <c r="B10" s="15">
        <v>230384</v>
      </c>
      <c r="C10" s="15">
        <v>0</v>
      </c>
      <c r="D10" s="15">
        <v>229555</v>
      </c>
      <c r="E10" s="15">
        <v>229555</v>
      </c>
      <c r="F10" s="15">
        <v>0</v>
      </c>
      <c r="G10" s="16">
        <f>IF(AND(F65&lt;&gt;0,0&lt;&gt;0),IF(100*0/(F65-0)&lt;0.005,"*",100*0/(F65-0)),0)</f>
        <v>0</v>
      </c>
    </row>
    <row r="11" spans="1:7" x14ac:dyDescent="0.2">
      <c r="A11" s="9" t="s">
        <v>99</v>
      </c>
      <c r="B11" s="15">
        <v>23360</v>
      </c>
      <c r="C11" s="15">
        <v>0</v>
      </c>
      <c r="D11" s="15">
        <v>23270</v>
      </c>
      <c r="E11" s="15">
        <v>23270</v>
      </c>
      <c r="F11" s="15">
        <v>0</v>
      </c>
      <c r="G11" s="16">
        <f>IF(AND(F65&lt;&gt;0,0&lt;&gt;0),IF(100*0/(F65-0)&lt;0.005,"*",100*0/(F65-0)),0)</f>
        <v>0</v>
      </c>
    </row>
    <row r="12" spans="1:7" x14ac:dyDescent="0.2">
      <c r="A12" s="9" t="s">
        <v>100</v>
      </c>
      <c r="B12" s="15">
        <v>18479</v>
      </c>
      <c r="C12" s="15">
        <v>0</v>
      </c>
      <c r="D12" s="15">
        <v>17954</v>
      </c>
      <c r="E12" s="15">
        <v>17954</v>
      </c>
      <c r="F12" s="15">
        <v>0</v>
      </c>
      <c r="G12" s="16">
        <f>IF(AND(F65&lt;&gt;0,0&lt;&gt;0),IF(100*0/(F65-0)&lt;0.005,"*",100*0/(F65-0)),0)</f>
        <v>0</v>
      </c>
    </row>
    <row r="13" spans="1:7" x14ac:dyDescent="0.2">
      <c r="A13" s="9" t="s">
        <v>101</v>
      </c>
      <c r="B13" s="15">
        <v>9790</v>
      </c>
      <c r="C13" s="15">
        <v>0</v>
      </c>
      <c r="D13" s="15">
        <v>9857</v>
      </c>
      <c r="E13" s="15">
        <v>9857</v>
      </c>
      <c r="F13" s="15">
        <v>0</v>
      </c>
      <c r="G13" s="16">
        <f>IF(AND(F65&lt;&gt;0,0&lt;&gt;0),IF(100*0/(F65-0)&lt;0.005,"*",100*0/(F65-0)),0)</f>
        <v>0</v>
      </c>
    </row>
    <row r="14" spans="1:7" x14ac:dyDescent="0.2">
      <c r="A14" s="9" t="s">
        <v>102</v>
      </c>
      <c r="B14" s="15">
        <v>9790</v>
      </c>
      <c r="C14" s="15">
        <v>0</v>
      </c>
      <c r="D14" s="15">
        <v>9857</v>
      </c>
      <c r="E14" s="15">
        <v>9857</v>
      </c>
      <c r="F14" s="15">
        <v>0</v>
      </c>
      <c r="G14" s="16">
        <f>IF(AND(F65&lt;&gt;0,0&lt;&gt;0),IF(100*0/(F65-0)&lt;0.005,"*",100*0/(F65-0)),0)</f>
        <v>0</v>
      </c>
    </row>
    <row r="15" spans="1:7" x14ac:dyDescent="0.2">
      <c r="A15" s="9" t="s">
        <v>103</v>
      </c>
      <c r="B15" s="15">
        <v>96873</v>
      </c>
      <c r="C15" s="15">
        <v>0</v>
      </c>
      <c r="D15" s="15">
        <v>102319</v>
      </c>
      <c r="E15" s="15">
        <v>102319</v>
      </c>
      <c r="F15" s="15">
        <v>0</v>
      </c>
      <c r="G15" s="16">
        <f>IF(AND(F65&lt;&gt;0,0&lt;&gt;0),IF(100*0/(F65-0)&lt;0.005,"*",100*0/(F65-0)),0)</f>
        <v>0</v>
      </c>
    </row>
    <row r="16" spans="1:7" x14ac:dyDescent="0.2">
      <c r="A16" s="9" t="s">
        <v>104</v>
      </c>
      <c r="B16" s="15">
        <v>57738</v>
      </c>
      <c r="C16" s="15">
        <v>0</v>
      </c>
      <c r="D16" s="15">
        <v>61189</v>
      </c>
      <c r="E16" s="15">
        <v>61189</v>
      </c>
      <c r="F16" s="15">
        <v>0</v>
      </c>
      <c r="G16" s="16">
        <f>IF(AND(F65&lt;&gt;0,0&lt;&gt;0),IF(100*0/(F65-0)&lt;0.005,"*",100*0/(F65-0)),0)</f>
        <v>0</v>
      </c>
    </row>
    <row r="17" spans="1:7" x14ac:dyDescent="0.2">
      <c r="A17" s="9" t="s">
        <v>105</v>
      </c>
      <c r="B17" s="15">
        <v>9790</v>
      </c>
      <c r="C17" s="15">
        <v>0</v>
      </c>
      <c r="D17" s="15">
        <v>9857</v>
      </c>
      <c r="E17" s="15">
        <v>9857</v>
      </c>
      <c r="F17" s="15">
        <v>0</v>
      </c>
      <c r="G17" s="16">
        <f>IF(AND(F65&lt;&gt;0,0&lt;&gt;0),IF(100*0/(F65-0)&lt;0.005,"*",100*0/(F65-0)),0)</f>
        <v>0</v>
      </c>
    </row>
    <row r="18" spans="1:7" x14ac:dyDescent="0.2">
      <c r="A18" s="9" t="s">
        <v>106</v>
      </c>
      <c r="B18" s="15">
        <v>9790</v>
      </c>
      <c r="C18" s="15">
        <v>0</v>
      </c>
      <c r="D18" s="15">
        <v>9857</v>
      </c>
      <c r="E18" s="15">
        <v>9857</v>
      </c>
      <c r="F18" s="15">
        <v>0</v>
      </c>
      <c r="G18" s="16">
        <f>IF(AND(F65&lt;&gt;0,0&lt;&gt;0),IF(100*0/(F65-0)&lt;0.005,"*",100*0/(F65-0)),0)</f>
        <v>0</v>
      </c>
    </row>
    <row r="19" spans="1:7" x14ac:dyDescent="0.2">
      <c r="A19" s="9" t="s">
        <v>107</v>
      </c>
      <c r="B19" s="15">
        <v>81325</v>
      </c>
      <c r="C19" s="15">
        <v>0</v>
      </c>
      <c r="D19" s="15">
        <v>79109</v>
      </c>
      <c r="E19" s="15">
        <v>79109</v>
      </c>
      <c r="F19" s="15">
        <v>0</v>
      </c>
      <c r="G19" s="16">
        <f>IF(AND(F65&lt;&gt;0,0&lt;&gt;0),IF(100*0/(F65-0)&lt;0.005,"*",100*0/(F65-0)),0)</f>
        <v>0</v>
      </c>
    </row>
    <row r="20" spans="1:7" x14ac:dyDescent="0.2">
      <c r="A20" s="9" t="s">
        <v>108</v>
      </c>
      <c r="B20" s="15">
        <v>35890</v>
      </c>
      <c r="C20" s="15">
        <v>0</v>
      </c>
      <c r="D20" s="15">
        <v>36195</v>
      </c>
      <c r="E20" s="15">
        <v>36195</v>
      </c>
      <c r="F20" s="15">
        <v>0</v>
      </c>
      <c r="G20" s="16">
        <f>IF(AND(F65&lt;&gt;0,0&lt;&gt;0),IF(100*0/(F65-0)&lt;0.005,"*",100*0/(F65-0)),0)</f>
        <v>0</v>
      </c>
    </row>
    <row r="21" spans="1:7" x14ac:dyDescent="0.2">
      <c r="A21" s="9" t="s">
        <v>109</v>
      </c>
      <c r="B21" s="15">
        <v>15794</v>
      </c>
      <c r="C21" s="15">
        <v>0</v>
      </c>
      <c r="D21" s="15">
        <v>15083</v>
      </c>
      <c r="E21" s="15">
        <v>15083</v>
      </c>
      <c r="F21" s="15">
        <v>0</v>
      </c>
      <c r="G21" s="16">
        <f>IF(AND(F65&lt;&gt;0,0&lt;&gt;0),IF(100*0/(F65-0)&lt;0.005,"*",100*0/(F65-0)),0)</f>
        <v>0</v>
      </c>
    </row>
    <row r="22" spans="1:7" x14ac:dyDescent="0.2">
      <c r="A22" s="9" t="s">
        <v>110</v>
      </c>
      <c r="B22" s="15">
        <v>15993</v>
      </c>
      <c r="C22" s="15">
        <v>0</v>
      </c>
      <c r="D22" s="15">
        <v>15910</v>
      </c>
      <c r="E22" s="15">
        <v>15910</v>
      </c>
      <c r="F22" s="15">
        <v>0</v>
      </c>
      <c r="G22" s="16">
        <f>IF(AND(F65&lt;&gt;0,0&lt;&gt;0),IF(100*0/(F65-0)&lt;0.005,"*",100*0/(F65-0)),0)</f>
        <v>0</v>
      </c>
    </row>
    <row r="23" spans="1:7" x14ac:dyDescent="0.2">
      <c r="A23" s="9" t="s">
        <v>111</v>
      </c>
      <c r="B23" s="15">
        <v>31896</v>
      </c>
      <c r="C23" s="15">
        <v>0</v>
      </c>
      <c r="D23" s="15">
        <v>31202</v>
      </c>
      <c r="E23" s="15">
        <v>31202</v>
      </c>
      <c r="F23" s="15">
        <v>0</v>
      </c>
      <c r="G23" s="16">
        <f>IF(AND(F65&lt;&gt;0,0&lt;&gt;0),IF(100*0/(F65-0)&lt;0.005,"*",100*0/(F65-0)),0)</f>
        <v>0</v>
      </c>
    </row>
    <row r="24" spans="1:7" x14ac:dyDescent="0.2">
      <c r="A24" s="9" t="s">
        <v>112</v>
      </c>
      <c r="B24" s="15">
        <v>45152</v>
      </c>
      <c r="C24" s="15">
        <v>0</v>
      </c>
      <c r="D24" s="15">
        <v>44078</v>
      </c>
      <c r="E24" s="15">
        <v>44078</v>
      </c>
      <c r="F24" s="15">
        <v>0</v>
      </c>
      <c r="G24" s="16">
        <f>IF(AND(F65&lt;&gt;0,0&lt;&gt;0),IF(100*0/(F65-0)&lt;0.005,"*",100*0/(F65-0)),0)</f>
        <v>0</v>
      </c>
    </row>
    <row r="25" spans="1:7" x14ac:dyDescent="0.2">
      <c r="A25" s="9" t="s">
        <v>113</v>
      </c>
      <c r="B25" s="15">
        <v>9790</v>
      </c>
      <c r="C25" s="15">
        <v>0</v>
      </c>
      <c r="D25" s="15">
        <v>9857</v>
      </c>
      <c r="E25" s="15">
        <v>9857</v>
      </c>
      <c r="F25" s="15">
        <v>0</v>
      </c>
      <c r="G25" s="16">
        <f>IF(AND(F65&lt;&gt;0,0&lt;&gt;0),IF(100*0/(F65-0)&lt;0.005,"*",100*0/(F65-0)),0)</f>
        <v>0</v>
      </c>
    </row>
    <row r="26" spans="1:7" x14ac:dyDescent="0.2">
      <c r="A26" s="9" t="s">
        <v>114</v>
      </c>
      <c r="B26" s="15">
        <v>29195</v>
      </c>
      <c r="C26" s="15">
        <v>0</v>
      </c>
      <c r="D26" s="15">
        <v>28517</v>
      </c>
      <c r="E26" s="15">
        <v>28517</v>
      </c>
      <c r="F26" s="15">
        <v>0</v>
      </c>
      <c r="G26" s="16">
        <f>IF(AND(F65&lt;&gt;0,0&lt;&gt;0),IF(100*0/(F65-0)&lt;0.005,"*",100*0/(F65-0)),0)</f>
        <v>0</v>
      </c>
    </row>
    <row r="27" spans="1:7" x14ac:dyDescent="0.2">
      <c r="A27" s="9" t="s">
        <v>115</v>
      </c>
      <c r="B27" s="15">
        <v>35496</v>
      </c>
      <c r="C27" s="15">
        <v>0</v>
      </c>
      <c r="D27" s="15">
        <v>34307</v>
      </c>
      <c r="E27" s="15">
        <v>34307</v>
      </c>
      <c r="F27" s="15">
        <v>0</v>
      </c>
      <c r="G27" s="16">
        <f>IF(AND(F65&lt;&gt;0,0&lt;&gt;0),IF(100*0/(F65-0)&lt;0.005,"*",100*0/(F65-0)),0)</f>
        <v>0</v>
      </c>
    </row>
    <row r="28" spans="1:7" x14ac:dyDescent="0.2">
      <c r="A28" s="9" t="s">
        <v>116</v>
      </c>
      <c r="B28" s="15">
        <v>76804</v>
      </c>
      <c r="C28" s="15">
        <v>0</v>
      </c>
      <c r="D28" s="15">
        <v>72727</v>
      </c>
      <c r="E28" s="15">
        <v>72727</v>
      </c>
      <c r="F28" s="15">
        <v>0</v>
      </c>
      <c r="G28" s="16">
        <f>IF(AND(F65&lt;&gt;0,0&lt;&gt;0),IF(100*0/(F65-0)&lt;0.005,"*",100*0/(F65-0)),0)</f>
        <v>0</v>
      </c>
    </row>
    <row r="29" spans="1:7" x14ac:dyDescent="0.2">
      <c r="A29" s="9" t="s">
        <v>117</v>
      </c>
      <c r="B29" s="15">
        <v>27326</v>
      </c>
      <c r="C29" s="15">
        <v>0</v>
      </c>
      <c r="D29" s="15">
        <v>26494</v>
      </c>
      <c r="E29" s="15">
        <v>26494</v>
      </c>
      <c r="F29" s="15">
        <v>0</v>
      </c>
      <c r="G29" s="16">
        <f>IF(AND(F65&lt;&gt;0,0&lt;&gt;0),IF(100*0/(F65-0)&lt;0.005,"*",100*0/(F65-0)),0)</f>
        <v>0</v>
      </c>
    </row>
    <row r="30" spans="1:7" x14ac:dyDescent="0.2">
      <c r="A30" s="9" t="s">
        <v>118</v>
      </c>
      <c r="B30" s="15">
        <v>29747</v>
      </c>
      <c r="C30" s="15">
        <v>0</v>
      </c>
      <c r="D30" s="15">
        <v>29074</v>
      </c>
      <c r="E30" s="15">
        <v>29074</v>
      </c>
      <c r="F30" s="15">
        <v>0</v>
      </c>
      <c r="G30" s="16">
        <f>IF(AND(F65&lt;&gt;0,0&lt;&gt;0),IF(100*0/(F65-0)&lt;0.005,"*",100*0/(F65-0)),0)</f>
        <v>0</v>
      </c>
    </row>
    <row r="31" spans="1:7" x14ac:dyDescent="0.2">
      <c r="A31" s="9" t="s">
        <v>119</v>
      </c>
      <c r="B31" s="15">
        <v>35115</v>
      </c>
      <c r="C31" s="15">
        <v>0</v>
      </c>
      <c r="D31" s="15">
        <v>35303</v>
      </c>
      <c r="E31" s="15">
        <v>35303</v>
      </c>
      <c r="F31" s="15">
        <v>0</v>
      </c>
      <c r="G31" s="16">
        <f>IF(AND(F65&lt;&gt;0,0&lt;&gt;0),IF(100*0/(F65-0)&lt;0.005,"*",100*0/(F65-0)),0)</f>
        <v>0</v>
      </c>
    </row>
    <row r="32" spans="1:7" x14ac:dyDescent="0.2">
      <c r="A32" s="9" t="s">
        <v>120</v>
      </c>
      <c r="B32" s="15">
        <v>9790</v>
      </c>
      <c r="C32" s="15">
        <v>0</v>
      </c>
      <c r="D32" s="15">
        <v>9857</v>
      </c>
      <c r="E32" s="15">
        <v>9857</v>
      </c>
      <c r="F32" s="15">
        <v>0</v>
      </c>
      <c r="G32" s="16">
        <f>IF(AND(F65&lt;&gt;0,0&lt;&gt;0),IF(100*0/(F65-0)&lt;0.005,"*",100*0/(F65-0)),0)</f>
        <v>0</v>
      </c>
    </row>
    <row r="33" spans="1:7" x14ac:dyDescent="0.2">
      <c r="A33" s="9" t="s">
        <v>121</v>
      </c>
      <c r="B33" s="15">
        <v>9988</v>
      </c>
      <c r="C33" s="15">
        <v>0</v>
      </c>
      <c r="D33" s="15">
        <v>10015</v>
      </c>
      <c r="E33" s="15">
        <v>10015</v>
      </c>
      <c r="F33" s="15">
        <v>0</v>
      </c>
      <c r="G33" s="16">
        <f>IF(AND(F65&lt;&gt;0,0&lt;&gt;0),IF(100*0/(F65-0)&lt;0.005,"*",100*0/(F65-0)),0)</f>
        <v>0</v>
      </c>
    </row>
    <row r="34" spans="1:7" x14ac:dyDescent="0.2">
      <c r="A34" s="9" t="s">
        <v>122</v>
      </c>
      <c r="B34" s="15">
        <v>11747</v>
      </c>
      <c r="C34" s="15">
        <v>0</v>
      </c>
      <c r="D34" s="15">
        <v>13117</v>
      </c>
      <c r="E34" s="15">
        <v>13117</v>
      </c>
      <c r="F34" s="15">
        <v>0</v>
      </c>
      <c r="G34" s="16">
        <f>IF(AND(F65&lt;&gt;0,0&lt;&gt;0),IF(100*0/(F65-0)&lt;0.005,"*",100*0/(F65-0)),0)</f>
        <v>0</v>
      </c>
    </row>
    <row r="35" spans="1:7" x14ac:dyDescent="0.2">
      <c r="A35" s="9" t="s">
        <v>123</v>
      </c>
      <c r="B35" s="15">
        <v>9790</v>
      </c>
      <c r="C35" s="15">
        <v>0</v>
      </c>
      <c r="D35" s="15">
        <v>9857</v>
      </c>
      <c r="E35" s="15">
        <v>9857</v>
      </c>
      <c r="F35" s="15">
        <v>0</v>
      </c>
      <c r="G35" s="16">
        <f>IF(AND(F65&lt;&gt;0,0&lt;&gt;0),IF(100*0/(F65-0)&lt;0.005,"*",100*0/(F65-0)),0)</f>
        <v>0</v>
      </c>
    </row>
    <row r="36" spans="1:7" x14ac:dyDescent="0.2">
      <c r="A36" s="9" t="s">
        <v>124</v>
      </c>
      <c r="B36" s="15">
        <v>46046</v>
      </c>
      <c r="C36" s="15">
        <v>0</v>
      </c>
      <c r="D36" s="15">
        <v>45291</v>
      </c>
      <c r="E36" s="15">
        <v>45291</v>
      </c>
      <c r="F36" s="15">
        <v>0</v>
      </c>
      <c r="G36" s="16">
        <f>IF(AND(F65&lt;&gt;0,0&lt;&gt;0),IF(100*0/(F65-0)&lt;0.005,"*",100*0/(F65-0)),0)</f>
        <v>0</v>
      </c>
    </row>
    <row r="37" spans="1:7" x14ac:dyDescent="0.2">
      <c r="A37" s="9" t="s">
        <v>125</v>
      </c>
      <c r="B37" s="15">
        <v>16334</v>
      </c>
      <c r="C37" s="15">
        <v>0</v>
      </c>
      <c r="D37" s="15">
        <v>16434</v>
      </c>
      <c r="E37" s="15">
        <v>16434</v>
      </c>
      <c r="F37" s="15">
        <v>0</v>
      </c>
      <c r="G37" s="16">
        <f>IF(AND(F65&lt;&gt;0,0&lt;&gt;0),IF(100*0/(F65-0)&lt;0.005,"*",100*0/(F65-0)),0)</f>
        <v>0</v>
      </c>
    </row>
    <row r="38" spans="1:7" x14ac:dyDescent="0.2">
      <c r="A38" s="9" t="s">
        <v>126</v>
      </c>
      <c r="B38" s="15">
        <v>157361</v>
      </c>
      <c r="C38" s="15">
        <v>0</v>
      </c>
      <c r="D38" s="15">
        <v>148646</v>
      </c>
      <c r="E38" s="15">
        <v>148646</v>
      </c>
      <c r="F38" s="15">
        <v>0</v>
      </c>
      <c r="G38" s="16">
        <f>IF(AND(F65&lt;&gt;0,0&lt;&gt;0),IF(100*0/(F65-0)&lt;0.005,"*",100*0/(F65-0)),0)</f>
        <v>0</v>
      </c>
    </row>
    <row r="39" spans="1:7" x14ac:dyDescent="0.2">
      <c r="A39" s="9" t="s">
        <v>127</v>
      </c>
      <c r="B39" s="15">
        <v>48647</v>
      </c>
      <c r="C39" s="15">
        <v>0</v>
      </c>
      <c r="D39" s="15">
        <v>52465</v>
      </c>
      <c r="E39" s="15">
        <v>52465</v>
      </c>
      <c r="F39" s="15">
        <v>0</v>
      </c>
      <c r="G39" s="16">
        <f>IF(AND(F65&lt;&gt;0,0&lt;&gt;0),IF(100*0/(F65-0)&lt;0.005,"*",100*0/(F65-0)),0)</f>
        <v>0</v>
      </c>
    </row>
    <row r="40" spans="1:7" x14ac:dyDescent="0.2">
      <c r="A40" s="9" t="s">
        <v>128</v>
      </c>
      <c r="B40" s="15">
        <v>9790</v>
      </c>
      <c r="C40" s="15">
        <v>0</v>
      </c>
      <c r="D40" s="15">
        <v>9857</v>
      </c>
      <c r="E40" s="15">
        <v>9857</v>
      </c>
      <c r="F40" s="15">
        <v>0</v>
      </c>
      <c r="G40" s="16">
        <f>IF(AND(F65&lt;&gt;0,0&lt;&gt;0),IF(100*0/(F65-0)&lt;0.005,"*",100*0/(F65-0)),0)</f>
        <v>0</v>
      </c>
    </row>
    <row r="41" spans="1:7" x14ac:dyDescent="0.2">
      <c r="A41" s="9" t="s">
        <v>129</v>
      </c>
      <c r="B41" s="15">
        <v>75142</v>
      </c>
      <c r="C41" s="15">
        <v>0</v>
      </c>
      <c r="D41" s="15">
        <v>74463</v>
      </c>
      <c r="E41" s="15">
        <v>74463</v>
      </c>
      <c r="F41" s="15">
        <v>0</v>
      </c>
      <c r="G41" s="16">
        <f>IF(AND(F65&lt;&gt;0,0&lt;&gt;0),IF(100*0/(F65-0)&lt;0.005,"*",100*0/(F65-0)),0)</f>
        <v>0</v>
      </c>
    </row>
    <row r="42" spans="1:7" x14ac:dyDescent="0.2">
      <c r="A42" s="9" t="s">
        <v>130</v>
      </c>
      <c r="B42" s="15">
        <v>24405</v>
      </c>
      <c r="C42" s="15">
        <v>0</v>
      </c>
      <c r="D42" s="15">
        <v>25113</v>
      </c>
      <c r="E42" s="15">
        <v>25113</v>
      </c>
      <c r="F42" s="15">
        <v>0</v>
      </c>
      <c r="G42" s="16">
        <f>IF(AND(F65&lt;&gt;0,0&lt;&gt;0),IF(100*0/(F65-0)&lt;0.005,"*",100*0/(F65-0)),0)</f>
        <v>0</v>
      </c>
    </row>
    <row r="43" spans="1:7" x14ac:dyDescent="0.2">
      <c r="A43" s="9" t="s">
        <v>131</v>
      </c>
      <c r="B43" s="15">
        <v>19825</v>
      </c>
      <c r="C43" s="15">
        <v>0</v>
      </c>
      <c r="D43" s="15">
        <v>19855</v>
      </c>
      <c r="E43" s="15">
        <v>19855</v>
      </c>
      <c r="F43" s="15">
        <v>0</v>
      </c>
      <c r="G43" s="16">
        <f>IF(AND(F65&lt;&gt;0,0&lt;&gt;0),IF(100*0/(F65-0)&lt;0.005,"*",100*0/(F65-0)),0)</f>
        <v>0</v>
      </c>
    </row>
    <row r="44" spans="1:7" x14ac:dyDescent="0.2">
      <c r="A44" s="9" t="s">
        <v>132</v>
      </c>
      <c r="B44" s="15">
        <v>80447</v>
      </c>
      <c r="C44" s="15">
        <v>0</v>
      </c>
      <c r="D44" s="15">
        <v>76780</v>
      </c>
      <c r="E44" s="15">
        <v>76780</v>
      </c>
      <c r="F44" s="15">
        <v>0</v>
      </c>
      <c r="G44" s="16">
        <f>IF(AND(F65&lt;&gt;0,0&lt;&gt;0),IF(100*0/(F65-0)&lt;0.005,"*",100*0/(F65-0)),0)</f>
        <v>0</v>
      </c>
    </row>
    <row r="45" spans="1:7" x14ac:dyDescent="0.2">
      <c r="A45" s="9" t="s">
        <v>133</v>
      </c>
      <c r="B45" s="15">
        <v>9790</v>
      </c>
      <c r="C45" s="15">
        <v>0</v>
      </c>
      <c r="D45" s="15">
        <v>9857</v>
      </c>
      <c r="E45" s="15">
        <v>9857</v>
      </c>
      <c r="F45" s="15">
        <v>0</v>
      </c>
      <c r="G45" s="16">
        <f>IF(AND(F65&lt;&gt;0,0&lt;&gt;0),IF(100*0/(F65-0)&lt;0.005,"*",100*0/(F65-0)),0)</f>
        <v>0</v>
      </c>
    </row>
    <row r="46" spans="1:7" x14ac:dyDescent="0.2">
      <c r="A46" s="9" t="s">
        <v>134</v>
      </c>
      <c r="B46" s="15">
        <v>27010</v>
      </c>
      <c r="C46" s="15">
        <v>0</v>
      </c>
      <c r="D46" s="15">
        <v>28620</v>
      </c>
      <c r="E46" s="15">
        <v>28620</v>
      </c>
      <c r="F46" s="15">
        <v>0</v>
      </c>
      <c r="G46" s="16">
        <f>IF(AND(F65&lt;&gt;0,0&lt;&gt;0),IF(100*0/(F65-0)&lt;0.005,"*",100*0/(F65-0)),0)</f>
        <v>0</v>
      </c>
    </row>
    <row r="47" spans="1:7" x14ac:dyDescent="0.2">
      <c r="A47" s="9" t="s">
        <v>135</v>
      </c>
      <c r="B47" s="15">
        <v>9790</v>
      </c>
      <c r="C47" s="15">
        <v>0</v>
      </c>
      <c r="D47" s="15">
        <v>9857</v>
      </c>
      <c r="E47" s="15">
        <v>9857</v>
      </c>
      <c r="F47" s="15">
        <v>0</v>
      </c>
      <c r="G47" s="16">
        <f>IF(AND(F65&lt;&gt;0,0&lt;&gt;0),IF(100*0/(F65-0)&lt;0.005,"*",100*0/(F65-0)),0)</f>
        <v>0</v>
      </c>
    </row>
    <row r="48" spans="1:7" x14ac:dyDescent="0.2">
      <c r="A48" s="9" t="s">
        <v>136</v>
      </c>
      <c r="B48" s="15">
        <v>36483</v>
      </c>
      <c r="C48" s="15">
        <v>0</v>
      </c>
      <c r="D48" s="15">
        <v>37863</v>
      </c>
      <c r="E48" s="15">
        <v>37863</v>
      </c>
      <c r="F48" s="15">
        <v>0</v>
      </c>
      <c r="G48" s="16">
        <f>IF(AND(F65&lt;&gt;0,0&lt;&gt;0),IF(100*0/(F65-0)&lt;0.005,"*",100*0/(F65-0)),0)</f>
        <v>0</v>
      </c>
    </row>
    <row r="49" spans="1:7" x14ac:dyDescent="0.2">
      <c r="A49" s="9" t="s">
        <v>137</v>
      </c>
      <c r="B49" s="15">
        <v>176878</v>
      </c>
      <c r="C49" s="15">
        <v>0</v>
      </c>
      <c r="D49" s="15">
        <v>183911</v>
      </c>
      <c r="E49" s="15">
        <v>183911</v>
      </c>
      <c r="F49" s="15">
        <v>0</v>
      </c>
      <c r="G49" s="16">
        <f>IF(AND(F65&lt;&gt;0,0&lt;&gt;0),IF(100*0/(F65-0)&lt;0.005,"*",100*0/(F65-0)),0)</f>
        <v>0</v>
      </c>
    </row>
    <row r="50" spans="1:7" x14ac:dyDescent="0.2">
      <c r="A50" s="9" t="s">
        <v>138</v>
      </c>
      <c r="B50" s="15">
        <v>13851</v>
      </c>
      <c r="C50" s="15">
        <v>0</v>
      </c>
      <c r="D50" s="15">
        <v>14158</v>
      </c>
      <c r="E50" s="15">
        <v>14158</v>
      </c>
      <c r="F50" s="15">
        <v>0</v>
      </c>
      <c r="G50" s="16">
        <f>IF(AND(F65&lt;&gt;0,0&lt;&gt;0),IF(100*0/(F65-0)&lt;0.005,"*",100*0/(F65-0)),0)</f>
        <v>0</v>
      </c>
    </row>
    <row r="51" spans="1:7" x14ac:dyDescent="0.2">
      <c r="A51" s="9" t="s">
        <v>139</v>
      </c>
      <c r="B51" s="15">
        <v>9790</v>
      </c>
      <c r="C51" s="15">
        <v>0</v>
      </c>
      <c r="D51" s="15">
        <v>9857</v>
      </c>
      <c r="E51" s="15">
        <v>9857</v>
      </c>
      <c r="F51" s="15">
        <v>0</v>
      </c>
      <c r="G51" s="16">
        <f>IF(AND(F65&lt;&gt;0,0&lt;&gt;0),IF(100*0/(F65-0)&lt;0.005,"*",100*0/(F65-0)),0)</f>
        <v>0</v>
      </c>
    </row>
    <row r="52" spans="1:7" x14ac:dyDescent="0.2">
      <c r="A52" s="9" t="s">
        <v>140</v>
      </c>
      <c r="B52" s="15">
        <v>37195</v>
      </c>
      <c r="C52" s="15">
        <v>0</v>
      </c>
      <c r="D52" s="15">
        <v>37816</v>
      </c>
      <c r="E52" s="15">
        <v>37816</v>
      </c>
      <c r="F52" s="15">
        <v>0</v>
      </c>
      <c r="G52" s="16">
        <f>IF(AND(F65&lt;&gt;0,0&lt;&gt;0),IF(100*0/(F65-0)&lt;0.005,"*",100*0/(F65-0)),0)</f>
        <v>0</v>
      </c>
    </row>
    <row r="53" spans="1:7" x14ac:dyDescent="0.2">
      <c r="A53" s="9" t="s">
        <v>141</v>
      </c>
      <c r="B53" s="15">
        <v>33289</v>
      </c>
      <c r="C53" s="15">
        <v>0</v>
      </c>
      <c r="D53" s="15">
        <v>34010</v>
      </c>
      <c r="E53" s="15">
        <v>34010</v>
      </c>
      <c r="F53" s="15">
        <v>0</v>
      </c>
      <c r="G53" s="16">
        <f>IF(AND(F65&lt;&gt;0,0&lt;&gt;0),IF(100*0/(F65-0)&lt;0.005,"*",100*0/(F65-0)),0)</f>
        <v>0</v>
      </c>
    </row>
    <row r="54" spans="1:7" x14ac:dyDescent="0.2">
      <c r="A54" s="9" t="s">
        <v>142</v>
      </c>
      <c r="B54" s="15">
        <v>16324</v>
      </c>
      <c r="C54" s="15">
        <v>0</v>
      </c>
      <c r="D54" s="15">
        <v>15464</v>
      </c>
      <c r="E54" s="15">
        <v>15464</v>
      </c>
      <c r="F54" s="15">
        <v>0</v>
      </c>
      <c r="G54" s="16">
        <f>IF(AND(F65&lt;&gt;0,0&lt;&gt;0),IF(100*0/(F65-0)&lt;0.005,"*",100*0/(F65-0)),0)</f>
        <v>0</v>
      </c>
    </row>
    <row r="55" spans="1:7" x14ac:dyDescent="0.2">
      <c r="A55" s="9" t="s">
        <v>143</v>
      </c>
      <c r="B55" s="15">
        <v>32629</v>
      </c>
      <c r="C55" s="15">
        <v>0</v>
      </c>
      <c r="D55" s="15">
        <v>31595</v>
      </c>
      <c r="E55" s="15">
        <v>31595</v>
      </c>
      <c r="F55" s="15">
        <v>0</v>
      </c>
      <c r="G55" s="16">
        <f>IF(AND(F65&lt;&gt;0,0&lt;&gt;0),IF(100*0/(F65-0)&lt;0.005,"*",100*0/(F65-0)),0)</f>
        <v>0</v>
      </c>
    </row>
    <row r="56" spans="1:7" x14ac:dyDescent="0.2">
      <c r="A56" s="9" t="s">
        <v>144</v>
      </c>
      <c r="B56" s="15">
        <v>9790</v>
      </c>
      <c r="C56" s="15">
        <v>0</v>
      </c>
      <c r="D56" s="15">
        <v>9857</v>
      </c>
      <c r="E56" s="15">
        <v>9857</v>
      </c>
      <c r="F56" s="15">
        <v>0</v>
      </c>
      <c r="G56" s="16">
        <f>IF(AND(F65&lt;&gt;0,0&lt;&gt;0),IF(100*0/(F65-0)&lt;0.005,"*",100*0/(F65-0)),0)</f>
        <v>0</v>
      </c>
    </row>
    <row r="57" spans="1:7" x14ac:dyDescent="0.2">
      <c r="A57" s="9" t="s">
        <v>145</v>
      </c>
      <c r="B57" s="15">
        <v>2456</v>
      </c>
      <c r="C57" s="15">
        <v>0</v>
      </c>
      <c r="D57" s="15">
        <v>2574</v>
      </c>
      <c r="E57" s="15">
        <v>2574</v>
      </c>
      <c r="F57" s="15">
        <v>0</v>
      </c>
      <c r="G57" s="16">
        <f>IF(AND(F65&lt;&gt;0,0&lt;&gt;0),IF(100*0/(F65-0)&lt;0.005,"*",100*0/(F65-0)),0)</f>
        <v>0</v>
      </c>
    </row>
    <row r="58" spans="1:7" x14ac:dyDescent="0.2">
      <c r="A58" s="9" t="s">
        <v>146</v>
      </c>
      <c r="B58" s="15">
        <v>3878</v>
      </c>
      <c r="C58" s="15">
        <v>0</v>
      </c>
      <c r="D58" s="15">
        <v>3818</v>
      </c>
      <c r="E58" s="15">
        <v>3818</v>
      </c>
      <c r="F58" s="15">
        <v>0</v>
      </c>
      <c r="G58" s="16">
        <f>IF(AND(F65&lt;&gt;0,0&lt;&gt;0),IF(100*0/(F65-0)&lt;0.005,"*",100*0/(F65-0)),0)</f>
        <v>0</v>
      </c>
    </row>
    <row r="59" spans="1:7" x14ac:dyDescent="0.2">
      <c r="A59" s="9" t="s">
        <v>147</v>
      </c>
      <c r="B59" s="15">
        <v>1513</v>
      </c>
      <c r="C59" s="15">
        <v>0</v>
      </c>
      <c r="D59" s="15">
        <v>1584</v>
      </c>
      <c r="E59" s="15">
        <v>1584</v>
      </c>
      <c r="F59" s="15">
        <v>0</v>
      </c>
      <c r="G59" s="16">
        <f>IF(AND(F65&lt;&gt;0,0&lt;&gt;0),IF(100*0/(F65-0)&lt;0.005,"*",100*0/(F65-0)),0)</f>
        <v>0</v>
      </c>
    </row>
    <row r="60" spans="1:7" x14ac:dyDescent="0.2">
      <c r="A60" s="9" t="s">
        <v>148</v>
      </c>
      <c r="B60" s="15">
        <v>59343</v>
      </c>
      <c r="C60" s="15">
        <v>0</v>
      </c>
      <c r="D60" s="15">
        <v>57993</v>
      </c>
      <c r="E60" s="15">
        <v>57993</v>
      </c>
      <c r="F60" s="15">
        <v>0</v>
      </c>
      <c r="G60" s="16">
        <f>IF(AND(F65&lt;&gt;0,0&lt;&gt;0),IF(100*0/(F65-0)&lt;0.005,"*",100*0/(F65-0)),0)</f>
        <v>0</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2381</v>
      </c>
      <c r="C62" s="15">
        <v>0</v>
      </c>
      <c r="D62" s="15">
        <v>2252</v>
      </c>
      <c r="E62" s="15">
        <v>2252</v>
      </c>
      <c r="F62" s="15">
        <v>0</v>
      </c>
      <c r="G62" s="16">
        <f>IF(AND(F65&lt;&gt;0,0&lt;&gt;0),IF(100*0/(F65-0)&lt;0.005,"*",100*0/(F65-0)),0)</f>
        <v>0</v>
      </c>
    </row>
    <row r="63" spans="1:7" x14ac:dyDescent="0.2">
      <c r="A63" s="9" t="s">
        <v>151</v>
      </c>
      <c r="B63" s="15">
        <v>10228</v>
      </c>
      <c r="C63" s="15">
        <v>0</v>
      </c>
      <c r="D63" s="15">
        <v>10228</v>
      </c>
      <c r="E63" s="15">
        <v>10228</v>
      </c>
      <c r="F63" s="15">
        <v>0</v>
      </c>
      <c r="G63" s="16">
        <f>IF(AND(F65&lt;&gt;0,0&lt;&gt;0),IF(100*0/(F65-0)&lt;0.005,"*",100*0/(F65-0)),0)</f>
        <v>0</v>
      </c>
    </row>
    <row r="64" spans="1:7" x14ac:dyDescent="0.2">
      <c r="A64" s="9" t="s">
        <v>152</v>
      </c>
      <c r="B64" s="15">
        <v>10279</v>
      </c>
      <c r="C64" s="15">
        <v>0</v>
      </c>
      <c r="D64" s="15">
        <v>10279</v>
      </c>
      <c r="E64" s="15">
        <v>10279</v>
      </c>
      <c r="F64" s="15">
        <v>0</v>
      </c>
      <c r="G64" s="16">
        <v>0</v>
      </c>
    </row>
    <row r="65" spans="1:7" ht="15" customHeight="1" x14ac:dyDescent="0.2">
      <c r="A65" s="17" t="s">
        <v>93</v>
      </c>
      <c r="B65" s="18">
        <f>32913+9790+35422+19979+230384+23360+18479+9790+9790+96873+57738+9790+9790+81325+35890+15794+15993+31896+45152+9790+29195+35496+76804+27326+29747+35115+9790+9988+11747+9790+46046+16334+157361+48647+9790+75142+24405+19825+80447+9790+27010+9790+36483+176878+13851+9790+37195+33289+16324+32629+9790+2456+3878+1513+59343+0+2381+10228+10279+0</f>
        <v>2055830</v>
      </c>
      <c r="C65" s="18">
        <f>0+0+0+0+0+0+0+0+0+0+0+0+0+0+0+0+0+0+0+0+0+0+0+0+0+0+0+0+0+0+0+0+0+0+0+0+0+0+0+0+0+0+0+0+0+0+0+0+0+0+0+0+0+0+0+0+0+0+0+0</f>
        <v>0</v>
      </c>
      <c r="D65" s="18">
        <f>33637+9857+37147+20275+229555+23270+17954+9857+9857+102319+61189+9857+9857+79109+36195+15083+15910+31202+44078+9857+28517+34307+72727+26494+29074+35303+9857+10015+13117+9857+45291+16434+148646+52465+9857+74463+25113+19855+76780+9857+28620+9857+37863+183911+14158+9857+37816+34010+15464+31595+9857+2574+3818+1584+57993+0+2252+10228+10279+0</f>
        <v>2055830</v>
      </c>
      <c r="E65" s="18">
        <f>SUM(C65:D65)</f>
        <v>2055830</v>
      </c>
      <c r="F65" s="18">
        <f>0+0+0+0+0+0+0+0+0+0+0+0+0+0+0+0+0+0+0+0+0+0+0+0+0+0+0+0+0+0+0+0+0+0+0+0+0+0+0+0+0+0+0+0+0+0+0+0+0+0+0+0+0+0+0+0+0+0+0+0</f>
        <v>0</v>
      </c>
      <c r="G65" s="20" t="s">
        <v>167</v>
      </c>
    </row>
  </sheetData>
  <mergeCells count="4">
    <mergeCell ref="A4:A5"/>
    <mergeCell ref="B4:B5"/>
    <mergeCell ref="F4:F5"/>
    <mergeCell ref="G4:G5"/>
  </mergeCells>
  <pageMargins left="0.7" right="0.7" top="0.75" bottom="0.75" header="0.3" footer="0.3"/>
  <pageSetup scale="8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168</v>
      </c>
      <c r="B1" s="8"/>
      <c r="C1" s="8"/>
      <c r="D1" s="8"/>
      <c r="E1" s="8"/>
      <c r="F1" s="8"/>
      <c r="G1" s="10" t="s">
        <v>169</v>
      </c>
    </row>
    <row r="2" spans="1:7" x14ac:dyDescent="0.2">
      <c r="A2" s="11" t="s">
        <v>170</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68298</v>
      </c>
      <c r="C6" s="15">
        <v>0</v>
      </c>
      <c r="D6" s="15">
        <v>65444</v>
      </c>
      <c r="E6" s="15">
        <v>65444</v>
      </c>
      <c r="F6" s="15">
        <v>71666</v>
      </c>
      <c r="G6" s="16">
        <f>IF(AND(F65&lt;&gt;0,71666&lt;&gt;0),IF(100*71666/(F65-0)&lt;0.005,"*",100*71666/(F65-0)),0)</f>
        <v>1.9851857597145739</v>
      </c>
    </row>
    <row r="7" spans="1:7" x14ac:dyDescent="0.2">
      <c r="A7" s="9" t="s">
        <v>95</v>
      </c>
      <c r="B7" s="15">
        <v>11287</v>
      </c>
      <c r="C7" s="15">
        <v>0</v>
      </c>
      <c r="D7" s="15">
        <v>10869</v>
      </c>
      <c r="E7" s="15">
        <v>10869</v>
      </c>
      <c r="F7" s="15">
        <v>11886</v>
      </c>
      <c r="G7" s="16">
        <f>IF(AND(F65&lt;&gt;0,11886&lt;&gt;0),IF(100*11886/(F65-0)&lt;0.005,"*",100*11886/(F65-0)),0)</f>
        <v>0.32924842938028387</v>
      </c>
    </row>
    <row r="8" spans="1:7" x14ac:dyDescent="0.2">
      <c r="A8" s="9" t="s">
        <v>96</v>
      </c>
      <c r="B8" s="15">
        <v>80625</v>
      </c>
      <c r="C8" s="15">
        <v>0</v>
      </c>
      <c r="D8" s="15">
        <v>74903</v>
      </c>
      <c r="E8" s="15">
        <v>74903</v>
      </c>
      <c r="F8" s="15">
        <v>84556</v>
      </c>
      <c r="G8" s="16">
        <f>IF(AND(F65&lt;&gt;0,84556&lt;&gt;0),IF(100*84556/(F65-0)&lt;0.005,"*",100*84556/(F65-0)),0)</f>
        <v>2.3422455152851493</v>
      </c>
    </row>
    <row r="9" spans="1:7" x14ac:dyDescent="0.2">
      <c r="A9" s="9" t="s">
        <v>97</v>
      </c>
      <c r="B9" s="15">
        <v>42832</v>
      </c>
      <c r="C9" s="15">
        <v>0</v>
      </c>
      <c r="D9" s="15">
        <v>39380</v>
      </c>
      <c r="E9" s="15">
        <v>39380</v>
      </c>
      <c r="F9" s="15">
        <v>43183</v>
      </c>
      <c r="G9" s="16">
        <f>IF(AND(F65&lt;&gt;0,43183&lt;&gt;0),IF(100*43183/(F65-0)&lt;0.005,"*",100*43183/(F65-0)),0)</f>
        <v>1.1961917319475683</v>
      </c>
    </row>
    <row r="10" spans="1:7" x14ac:dyDescent="0.2">
      <c r="A10" s="9" t="s">
        <v>98</v>
      </c>
      <c r="B10" s="15">
        <v>303130</v>
      </c>
      <c r="C10" s="15">
        <v>0</v>
      </c>
      <c r="D10" s="15">
        <v>303662</v>
      </c>
      <c r="E10" s="15">
        <v>303662</v>
      </c>
      <c r="F10" s="15">
        <v>312626</v>
      </c>
      <c r="G10" s="16">
        <f>IF(AND(F65&lt;&gt;0,312626&lt;&gt;0),IF(100*312626/(F65-0)&lt;0.005,"*",100*312626/(F65-0)),0)</f>
        <v>8.659904045384538</v>
      </c>
    </row>
    <row r="11" spans="1:7" x14ac:dyDescent="0.2">
      <c r="A11" s="9" t="s">
        <v>99</v>
      </c>
      <c r="B11" s="15">
        <v>44504</v>
      </c>
      <c r="C11" s="15">
        <v>0</v>
      </c>
      <c r="D11" s="15">
        <v>45794</v>
      </c>
      <c r="E11" s="15">
        <v>45794</v>
      </c>
      <c r="F11" s="15">
        <v>51029</v>
      </c>
      <c r="G11" s="16">
        <f>IF(AND(F65&lt;&gt;0,51029&lt;&gt;0),IF(100*51029/(F65-0)&lt;0.005,"*",100*51029/(F65-0)),0)</f>
        <v>1.4135300439884322</v>
      </c>
    </row>
    <row r="12" spans="1:7" x14ac:dyDescent="0.2">
      <c r="A12" s="9" t="s">
        <v>100</v>
      </c>
      <c r="B12" s="15">
        <v>23877</v>
      </c>
      <c r="C12" s="15">
        <v>0</v>
      </c>
      <c r="D12" s="15">
        <v>21669</v>
      </c>
      <c r="E12" s="15">
        <v>21669</v>
      </c>
      <c r="F12" s="15">
        <v>23336</v>
      </c>
      <c r="G12" s="16">
        <f>IF(AND(F65&lt;&gt;0,23336&lt;&gt;0),IF(100*23336/(F65-0)&lt;0.005,"*",100*23336/(F65-0)),0)</f>
        <v>0.64641943025562043</v>
      </c>
    </row>
    <row r="13" spans="1:7" x14ac:dyDescent="0.2">
      <c r="A13" s="9" t="s">
        <v>101</v>
      </c>
      <c r="B13" s="15">
        <v>11610</v>
      </c>
      <c r="C13" s="15">
        <v>0</v>
      </c>
      <c r="D13" s="15">
        <v>10869</v>
      </c>
      <c r="E13" s="15">
        <v>10869</v>
      </c>
      <c r="F13" s="15">
        <v>11886</v>
      </c>
      <c r="G13" s="16">
        <f>IF(AND(F65&lt;&gt;0,11886&lt;&gt;0),IF(100*11886/(F65-0)&lt;0.005,"*",100*11886/(F65-0)),0)</f>
        <v>0.32924842938028387</v>
      </c>
    </row>
    <row r="14" spans="1:7" x14ac:dyDescent="0.2">
      <c r="A14" s="9" t="s">
        <v>102</v>
      </c>
      <c r="B14" s="15">
        <v>16144</v>
      </c>
      <c r="C14" s="15">
        <v>0</v>
      </c>
      <c r="D14" s="15">
        <v>14926</v>
      </c>
      <c r="E14" s="15">
        <v>14926</v>
      </c>
      <c r="F14" s="15">
        <v>16181</v>
      </c>
      <c r="G14" s="16">
        <f>IF(AND(F65&lt;&gt;0,16181&lt;&gt;0),IF(100*16181/(F65-0)&lt;0.005,"*",100*16181/(F65-0)),0)</f>
        <v>0.44822218036365247</v>
      </c>
    </row>
    <row r="15" spans="1:7" x14ac:dyDescent="0.2">
      <c r="A15" s="9" t="s">
        <v>103</v>
      </c>
      <c r="B15" s="15">
        <v>194899</v>
      </c>
      <c r="C15" s="15">
        <v>0</v>
      </c>
      <c r="D15" s="15">
        <v>201825</v>
      </c>
      <c r="E15" s="15">
        <v>201825</v>
      </c>
      <c r="F15" s="15">
        <v>223973</v>
      </c>
      <c r="G15" s="16">
        <f>IF(AND(F65&lt;&gt;0,223973&lt;&gt;0),IF(100*223973/(F65-0)&lt;0.005,"*",100*223973/(F65-0)),0)</f>
        <v>6.2041694828866163</v>
      </c>
    </row>
    <row r="16" spans="1:7" x14ac:dyDescent="0.2">
      <c r="A16" s="9" t="s">
        <v>104</v>
      </c>
      <c r="B16" s="15">
        <v>100000</v>
      </c>
      <c r="C16" s="15">
        <v>0</v>
      </c>
      <c r="D16" s="15">
        <v>117372</v>
      </c>
      <c r="E16" s="15">
        <v>117372</v>
      </c>
      <c r="F16" s="15">
        <v>127404</v>
      </c>
      <c r="G16" s="16">
        <f>IF(AND(F65&lt;&gt;0,127404&lt;&gt;0),IF(100*127404/(F65-0)&lt;0.005,"*",100*127404/(F65-0)),0)</f>
        <v>3.5291575716612558</v>
      </c>
    </row>
    <row r="17" spans="1:7" x14ac:dyDescent="0.2">
      <c r="A17" s="9" t="s">
        <v>105</v>
      </c>
      <c r="B17" s="15">
        <v>13380</v>
      </c>
      <c r="C17" s="15">
        <v>0</v>
      </c>
      <c r="D17" s="15">
        <v>12724</v>
      </c>
      <c r="E17" s="15">
        <v>12724</v>
      </c>
      <c r="F17" s="15">
        <v>13679</v>
      </c>
      <c r="G17" s="16">
        <f>IF(AND(F65&lt;&gt;0,13679&lt;&gt;0),IF(100*13679/(F65-0)&lt;0.005,"*",100*13679/(F65-0)),0)</f>
        <v>0.37891546908067503</v>
      </c>
    </row>
    <row r="18" spans="1:7" x14ac:dyDescent="0.2">
      <c r="A18" s="9" t="s">
        <v>106</v>
      </c>
      <c r="B18" s="15">
        <v>19259</v>
      </c>
      <c r="C18" s="15">
        <v>0</v>
      </c>
      <c r="D18" s="15">
        <v>19958</v>
      </c>
      <c r="E18" s="15">
        <v>19958</v>
      </c>
      <c r="F18" s="15">
        <v>22038</v>
      </c>
      <c r="G18" s="16">
        <f>IF(AND(F65&lt;&gt;0,22038&lt;&gt;0),IF(100*22038/(F65-0)&lt;0.005,"*",100*22038/(F65-0)),0)</f>
        <v>0.61046414998171761</v>
      </c>
    </row>
    <row r="19" spans="1:7" x14ac:dyDescent="0.2">
      <c r="A19" s="9" t="s">
        <v>107</v>
      </c>
      <c r="B19" s="15">
        <v>113035</v>
      </c>
      <c r="C19" s="15">
        <v>0</v>
      </c>
      <c r="D19" s="15">
        <v>115032</v>
      </c>
      <c r="E19" s="15">
        <v>115032</v>
      </c>
      <c r="F19" s="15">
        <v>123959</v>
      </c>
      <c r="G19" s="16">
        <f>IF(AND(F65&lt;&gt;0,123959&lt;&gt;0),IF(100*123959/(F65-0)&lt;0.005,"*",100*123959/(F65-0)),0)</f>
        <v>3.4337292661577159</v>
      </c>
    </row>
    <row r="20" spans="1:7" x14ac:dyDescent="0.2">
      <c r="A20" s="9" t="s">
        <v>108</v>
      </c>
      <c r="B20" s="15">
        <v>67931</v>
      </c>
      <c r="C20" s="15">
        <v>0</v>
      </c>
      <c r="D20" s="15">
        <v>77553</v>
      </c>
      <c r="E20" s="15">
        <v>77553</v>
      </c>
      <c r="F20" s="15">
        <v>84952</v>
      </c>
      <c r="G20" s="16">
        <f>IF(AND(F65&lt;&gt;0,84952&lt;&gt;0),IF(100*84952/(F65-0)&lt;0.005,"*",100*84952/(F65-0)),0)</f>
        <v>2.3532149228263397</v>
      </c>
    </row>
    <row r="21" spans="1:7" x14ac:dyDescent="0.2">
      <c r="A21" s="9" t="s">
        <v>109</v>
      </c>
      <c r="B21" s="15">
        <v>32865</v>
      </c>
      <c r="C21" s="15">
        <v>0</v>
      </c>
      <c r="D21" s="15">
        <v>33506</v>
      </c>
      <c r="E21" s="15">
        <v>33506</v>
      </c>
      <c r="F21" s="15">
        <v>37749</v>
      </c>
      <c r="G21" s="16">
        <f>IF(AND(F65&lt;&gt;0,37749&lt;&gt;0),IF(100*37749/(F65-0)&lt;0.005,"*",100*37749/(F65-0)),0)</f>
        <v>1.0456670840212297</v>
      </c>
    </row>
    <row r="22" spans="1:7" x14ac:dyDescent="0.2">
      <c r="A22" s="9" t="s">
        <v>110</v>
      </c>
      <c r="B22" s="15">
        <v>27950</v>
      </c>
      <c r="C22" s="15">
        <v>0</v>
      </c>
      <c r="D22" s="15">
        <v>28476</v>
      </c>
      <c r="E22" s="15">
        <v>28476</v>
      </c>
      <c r="F22" s="15">
        <v>32801</v>
      </c>
      <c r="G22" s="16">
        <f>IF(AND(F65&lt;&gt;0,32801&lt;&gt;0),IF(100*32801/(F65-0)&lt;0.005,"*",100*32801/(F65-0)),0)</f>
        <v>0.90860489080453399</v>
      </c>
    </row>
    <row r="23" spans="1:7" x14ac:dyDescent="0.2">
      <c r="A23" s="9" t="s">
        <v>111</v>
      </c>
      <c r="B23" s="15">
        <v>52865</v>
      </c>
      <c r="C23" s="15">
        <v>0</v>
      </c>
      <c r="D23" s="15">
        <v>59009</v>
      </c>
      <c r="E23" s="15">
        <v>59009</v>
      </c>
      <c r="F23" s="15">
        <v>64758</v>
      </c>
      <c r="G23" s="16">
        <f>IF(AND(F65&lt;&gt;0,64758&lt;&gt;0),IF(100*64758/(F65-0)&lt;0.005,"*",100*64758/(F65-0)),0)</f>
        <v>1.793830539273803</v>
      </c>
    </row>
    <row r="24" spans="1:7" x14ac:dyDescent="0.2">
      <c r="A24" s="9" t="s">
        <v>112</v>
      </c>
      <c r="B24" s="15">
        <v>36550</v>
      </c>
      <c r="C24" s="15">
        <v>0</v>
      </c>
      <c r="D24" s="15">
        <v>57833</v>
      </c>
      <c r="E24" s="15">
        <v>57833</v>
      </c>
      <c r="F24" s="15">
        <v>64741</v>
      </c>
      <c r="G24" s="16">
        <f>IF(AND(F65&lt;&gt;0,64741&lt;&gt;0),IF(100*64741/(F65-0)&lt;0.005,"*",100*64741/(F65-0)),0)</f>
        <v>1.7933596303642065</v>
      </c>
    </row>
    <row r="25" spans="1:7" x14ac:dyDescent="0.2">
      <c r="A25" s="9" t="s">
        <v>113</v>
      </c>
      <c r="B25" s="15">
        <v>16594</v>
      </c>
      <c r="C25" s="15">
        <v>0</v>
      </c>
      <c r="D25" s="15">
        <v>16442</v>
      </c>
      <c r="E25" s="15">
        <v>16442</v>
      </c>
      <c r="F25" s="15">
        <v>17684</v>
      </c>
      <c r="G25" s="16">
        <f>IF(AND(F65&lt;&gt;0,17684&lt;&gt;0),IF(100*17684/(F65-0)&lt;0.005,"*",100*17684/(F65-0)),0)</f>
        <v>0.48985606807680804</v>
      </c>
    </row>
    <row r="26" spans="1:7" x14ac:dyDescent="0.2">
      <c r="A26" s="9" t="s">
        <v>114</v>
      </c>
      <c r="B26" s="15">
        <v>44234</v>
      </c>
      <c r="C26" s="15">
        <v>0</v>
      </c>
      <c r="D26" s="15">
        <v>45197</v>
      </c>
      <c r="E26" s="15">
        <v>45197</v>
      </c>
      <c r="F26" s="15">
        <v>48945</v>
      </c>
      <c r="G26" s="16">
        <f>IF(AND(F65&lt;&gt;0,48945&lt;&gt;0),IF(100*48945/(F65-0)&lt;0.005,"*",100*48945/(F65-0)),0)</f>
        <v>1.3558021517767116</v>
      </c>
    </row>
    <row r="27" spans="1:7" x14ac:dyDescent="0.2">
      <c r="A27" s="9" t="s">
        <v>115</v>
      </c>
      <c r="B27" s="15">
        <v>53173</v>
      </c>
      <c r="C27" s="15">
        <v>0</v>
      </c>
      <c r="D27" s="15">
        <v>48769</v>
      </c>
      <c r="E27" s="15">
        <v>48769</v>
      </c>
      <c r="F27" s="15">
        <v>51582</v>
      </c>
      <c r="G27" s="16">
        <f>IF(AND(F65&lt;&gt;0,51582&lt;&gt;0),IF(100*51582/(F65-0)&lt;0.005,"*",100*51582/(F65-0)),0)</f>
        <v>1.4288484338123677</v>
      </c>
    </row>
    <row r="28" spans="1:7" x14ac:dyDescent="0.2">
      <c r="A28" s="9" t="s">
        <v>116</v>
      </c>
      <c r="B28" s="15">
        <v>112641</v>
      </c>
      <c r="C28" s="15">
        <v>0</v>
      </c>
      <c r="D28" s="15">
        <v>113124</v>
      </c>
      <c r="E28" s="15">
        <v>113124</v>
      </c>
      <c r="F28" s="15">
        <v>122348</v>
      </c>
      <c r="G28" s="16">
        <f>IF(AND(F65&lt;&gt;0,122348&lt;&gt;0),IF(100*122348/(F65-0)&lt;0.005,"*",100*122348/(F65-0)),0)</f>
        <v>3.3891037218424174</v>
      </c>
    </row>
    <row r="29" spans="1:7" x14ac:dyDescent="0.2">
      <c r="A29" s="9" t="s">
        <v>117</v>
      </c>
      <c r="B29" s="15">
        <v>51098</v>
      </c>
      <c r="C29" s="15">
        <v>0</v>
      </c>
      <c r="D29" s="15">
        <v>50671</v>
      </c>
      <c r="E29" s="15">
        <v>50671</v>
      </c>
      <c r="F29" s="15">
        <v>55469</v>
      </c>
      <c r="G29" s="16">
        <f>IF(AND(F65&lt;&gt;0,55469&lt;&gt;0),IF(100*55469/(F65-0)&lt;0.005,"*",100*55469/(F65-0)),0)</f>
        <v>1.5365203709654187</v>
      </c>
    </row>
    <row r="30" spans="1:7" x14ac:dyDescent="0.2">
      <c r="A30" s="9" t="s">
        <v>118</v>
      </c>
      <c r="B30" s="15">
        <v>43541</v>
      </c>
      <c r="C30" s="15">
        <v>0</v>
      </c>
      <c r="D30" s="15">
        <v>44681</v>
      </c>
      <c r="E30" s="15">
        <v>44681</v>
      </c>
      <c r="F30" s="15">
        <v>49265</v>
      </c>
      <c r="G30" s="16">
        <f>IF(AND(F65&lt;&gt;0,49265&lt;&gt;0),IF(100*49265/(F65-0)&lt;0.005,"*",100*49265/(F65-0)),0)</f>
        <v>1.3646663194867648</v>
      </c>
    </row>
    <row r="31" spans="1:7" x14ac:dyDescent="0.2">
      <c r="A31" s="9" t="s">
        <v>119</v>
      </c>
      <c r="B31" s="15">
        <v>69555</v>
      </c>
      <c r="C31" s="15">
        <v>0</v>
      </c>
      <c r="D31" s="15">
        <v>70929</v>
      </c>
      <c r="E31" s="15">
        <v>70929</v>
      </c>
      <c r="F31" s="15">
        <v>78320</v>
      </c>
      <c r="G31" s="16">
        <f>IF(AND(F65&lt;&gt;0,78320&lt;&gt;0),IF(100*78320/(F65-0)&lt;0.005,"*",100*78320/(F65-0)),0)</f>
        <v>2.1695050470354897</v>
      </c>
    </row>
    <row r="32" spans="1:7" x14ac:dyDescent="0.2">
      <c r="A32" s="9" t="s">
        <v>120</v>
      </c>
      <c r="B32" s="15">
        <v>11793</v>
      </c>
      <c r="C32" s="15">
        <v>0</v>
      </c>
      <c r="D32" s="15">
        <v>12071</v>
      </c>
      <c r="E32" s="15">
        <v>12071</v>
      </c>
      <c r="F32" s="15">
        <v>13158</v>
      </c>
      <c r="G32" s="16">
        <f>IF(AND(F65&lt;&gt;0,13158&lt;&gt;0),IF(100*13158/(F65-0)&lt;0.005,"*",100*13158/(F65-0)),0)</f>
        <v>0.36448349602774482</v>
      </c>
    </row>
    <row r="33" spans="1:7" x14ac:dyDescent="0.2">
      <c r="A33" s="9" t="s">
        <v>121</v>
      </c>
      <c r="B33" s="15">
        <v>20168</v>
      </c>
      <c r="C33" s="15">
        <v>0</v>
      </c>
      <c r="D33" s="15">
        <v>18559</v>
      </c>
      <c r="E33" s="15">
        <v>18559</v>
      </c>
      <c r="F33" s="15">
        <v>20783</v>
      </c>
      <c r="G33" s="16">
        <f>IF(AND(F65&lt;&gt;0,20783&lt;&gt;0),IF(100*20783/(F65-0)&lt;0.005,"*",100*20783/(F65-0)),0)</f>
        <v>0.57569999224385326</v>
      </c>
    </row>
    <row r="34" spans="1:7" x14ac:dyDescent="0.2">
      <c r="A34" s="9" t="s">
        <v>122</v>
      </c>
      <c r="B34" s="15">
        <v>19777</v>
      </c>
      <c r="C34" s="15">
        <v>0</v>
      </c>
      <c r="D34" s="15">
        <v>28377</v>
      </c>
      <c r="E34" s="15">
        <v>28377</v>
      </c>
      <c r="F34" s="15">
        <v>30954</v>
      </c>
      <c r="G34" s="16">
        <f>IF(AND(F65&lt;&gt;0,30954&lt;&gt;0),IF(100*30954/(F65-0)&lt;0.005,"*",100*30954/(F65-0)),0)</f>
        <v>0.85744202280307147</v>
      </c>
    </row>
    <row r="35" spans="1:7" x14ac:dyDescent="0.2">
      <c r="A35" s="9" t="s">
        <v>123</v>
      </c>
      <c r="B35" s="15">
        <v>11429</v>
      </c>
      <c r="C35" s="15">
        <v>0</v>
      </c>
      <c r="D35" s="15">
        <v>10926</v>
      </c>
      <c r="E35" s="15">
        <v>10926</v>
      </c>
      <c r="F35" s="15">
        <v>12137</v>
      </c>
      <c r="G35" s="16">
        <f>IF(AND(F65&lt;&gt;0,12137&lt;&gt;0),IF(100*12137/(F65-0)&lt;0.005,"*",100*12137/(F65-0)),0)</f>
        <v>0.33620126092785674</v>
      </c>
    </row>
    <row r="36" spans="1:7" x14ac:dyDescent="0.2">
      <c r="A36" s="9" t="s">
        <v>124</v>
      </c>
      <c r="B36" s="15">
        <v>62807</v>
      </c>
      <c r="C36" s="15">
        <v>0</v>
      </c>
      <c r="D36" s="15">
        <v>62094</v>
      </c>
      <c r="E36" s="15">
        <v>62094</v>
      </c>
      <c r="F36" s="15">
        <v>67048</v>
      </c>
      <c r="G36" s="16">
        <f>IF(AND(F65&lt;&gt;0,67048&lt;&gt;0),IF(100*67048/(F65-0)&lt;0.005,"*",100*67048/(F65-0)),0)</f>
        <v>1.8572647394488704</v>
      </c>
    </row>
    <row r="37" spans="1:7" x14ac:dyDescent="0.2">
      <c r="A37" s="9" t="s">
        <v>125</v>
      </c>
      <c r="B37" s="15">
        <v>25653</v>
      </c>
      <c r="C37" s="15">
        <v>0</v>
      </c>
      <c r="D37" s="15">
        <v>26189</v>
      </c>
      <c r="E37" s="15">
        <v>26189</v>
      </c>
      <c r="F37" s="15">
        <v>28931</v>
      </c>
      <c r="G37" s="16">
        <f>IF(AND(F65&lt;&gt;0,28931&lt;&gt;0),IF(100*28931/(F65-0)&lt;0.005,"*",100*28931/(F65-0)),0)</f>
        <v>0.80140386256107965</v>
      </c>
    </row>
    <row r="38" spans="1:7" x14ac:dyDescent="0.2">
      <c r="A38" s="9" t="s">
        <v>126</v>
      </c>
      <c r="B38" s="15">
        <v>162071</v>
      </c>
      <c r="C38" s="15">
        <v>0</v>
      </c>
      <c r="D38" s="15">
        <v>148454</v>
      </c>
      <c r="E38" s="15">
        <v>148454</v>
      </c>
      <c r="F38" s="15">
        <v>157599</v>
      </c>
      <c r="G38" s="16">
        <f>IF(AND(F65&lt;&gt;0,157599&lt;&gt;0),IF(100*157599/(F65-0)&lt;0.005,"*",100*157599/(F65-0)),0)</f>
        <v>4.3655748966770451</v>
      </c>
    </row>
    <row r="39" spans="1:7" x14ac:dyDescent="0.2">
      <c r="A39" s="9" t="s">
        <v>127</v>
      </c>
      <c r="B39" s="15">
        <v>114574</v>
      </c>
      <c r="C39" s="15">
        <v>0</v>
      </c>
      <c r="D39" s="15">
        <v>117826</v>
      </c>
      <c r="E39" s="15">
        <v>117826</v>
      </c>
      <c r="F39" s="15">
        <v>128858</v>
      </c>
      <c r="G39" s="16">
        <f>IF(AND(F65&lt;&gt;0,128858&lt;&gt;0),IF(100*128858/(F65-0)&lt;0.005,"*",100*128858/(F65-0)),0)</f>
        <v>3.5694341336938096</v>
      </c>
    </row>
    <row r="40" spans="1:7" x14ac:dyDescent="0.2">
      <c r="A40" s="9" t="s">
        <v>128</v>
      </c>
      <c r="B40" s="15">
        <v>10616</v>
      </c>
      <c r="C40" s="15">
        <v>0</v>
      </c>
      <c r="D40" s="15">
        <v>10869</v>
      </c>
      <c r="E40" s="15">
        <v>10869</v>
      </c>
      <c r="F40" s="15">
        <v>11886</v>
      </c>
      <c r="G40" s="16">
        <f>IF(AND(F65&lt;&gt;0,11886&lt;&gt;0),IF(100*11886/(F65-0)&lt;0.005,"*",100*11886/(F65-0)),0)</f>
        <v>0.32924842938028387</v>
      </c>
    </row>
    <row r="41" spans="1:7" x14ac:dyDescent="0.2">
      <c r="A41" s="9" t="s">
        <v>129</v>
      </c>
      <c r="B41" s="15">
        <v>100360</v>
      </c>
      <c r="C41" s="15">
        <v>0</v>
      </c>
      <c r="D41" s="15">
        <v>134105</v>
      </c>
      <c r="E41" s="15">
        <v>134105</v>
      </c>
      <c r="F41" s="15">
        <v>146253</v>
      </c>
      <c r="G41" s="16">
        <f>IF(AND(F65&lt;&gt;0,146253&lt;&gt;0),IF(100*146253/(F65-0)&lt;0.005,"*",100*146253/(F65-0)),0)</f>
        <v>4.0512847503074756</v>
      </c>
    </row>
    <row r="42" spans="1:7" x14ac:dyDescent="0.2">
      <c r="A42" s="9" t="s">
        <v>130</v>
      </c>
      <c r="B42" s="15">
        <v>41388</v>
      </c>
      <c r="C42" s="15">
        <v>0</v>
      </c>
      <c r="D42" s="15">
        <v>42141</v>
      </c>
      <c r="E42" s="15">
        <v>42141</v>
      </c>
      <c r="F42" s="15">
        <v>50472</v>
      </c>
      <c r="G42" s="16">
        <f>IF(AND(F65&lt;&gt;0,50472&lt;&gt;0),IF(100*50472/(F65-0)&lt;0.005,"*",100*50472/(F65-0)),0)</f>
        <v>1.3981008520681211</v>
      </c>
    </row>
    <row r="43" spans="1:7" x14ac:dyDescent="0.2">
      <c r="A43" s="9" t="s">
        <v>131</v>
      </c>
      <c r="B43" s="15">
        <v>47268</v>
      </c>
      <c r="C43" s="15">
        <v>0</v>
      </c>
      <c r="D43" s="15">
        <v>43265</v>
      </c>
      <c r="E43" s="15">
        <v>43265</v>
      </c>
      <c r="F43" s="15">
        <v>46273</v>
      </c>
      <c r="G43" s="16">
        <f>IF(AND(F65&lt;&gt;0,46273&lt;&gt;0),IF(100*46273/(F65-0)&lt;0.005,"*",100*46273/(F65-0)),0)</f>
        <v>1.2817863513977685</v>
      </c>
    </row>
    <row r="44" spans="1:7" x14ac:dyDescent="0.2">
      <c r="A44" s="9" t="s">
        <v>132</v>
      </c>
      <c r="B44" s="15">
        <v>142807</v>
      </c>
      <c r="C44" s="15">
        <v>0</v>
      </c>
      <c r="D44" s="15">
        <v>129097</v>
      </c>
      <c r="E44" s="15">
        <v>129097</v>
      </c>
      <c r="F44" s="15">
        <v>140270</v>
      </c>
      <c r="G44" s="16">
        <f>IF(AND(F65&lt;&gt;0,140270&lt;&gt;0),IF(100*140270/(F65-0)&lt;0.005,"*",100*140270/(F65-0)),0)</f>
        <v>3.8855525146535772</v>
      </c>
    </row>
    <row r="45" spans="1:7" x14ac:dyDescent="0.2">
      <c r="A45" s="9" t="s">
        <v>133</v>
      </c>
      <c r="B45" s="15">
        <v>11766</v>
      </c>
      <c r="C45" s="15">
        <v>0</v>
      </c>
      <c r="D45" s="15">
        <v>10869</v>
      </c>
      <c r="E45" s="15">
        <v>10869</v>
      </c>
      <c r="F45" s="15">
        <v>11886</v>
      </c>
      <c r="G45" s="16">
        <f>IF(AND(F65&lt;&gt;0,11886&lt;&gt;0),IF(100*11886/(F65-0)&lt;0.005,"*",100*11886/(F65-0)),0)</f>
        <v>0.32924842938028387</v>
      </c>
    </row>
    <row r="46" spans="1:7" x14ac:dyDescent="0.2">
      <c r="A46" s="9" t="s">
        <v>134</v>
      </c>
      <c r="B46" s="15">
        <v>67922</v>
      </c>
      <c r="C46" s="15">
        <v>0</v>
      </c>
      <c r="D46" s="15">
        <v>62883</v>
      </c>
      <c r="E46" s="15">
        <v>62883</v>
      </c>
      <c r="F46" s="15">
        <v>68403</v>
      </c>
      <c r="G46" s="16">
        <f>IF(AND(F65&lt;&gt;0,68403&lt;&gt;0),IF(100*68403/(F65-0)&lt;0.005,"*",100*68403/(F65-0)),0)</f>
        <v>1.8947989495961264</v>
      </c>
    </row>
    <row r="47" spans="1:7" x14ac:dyDescent="0.2">
      <c r="A47" s="9" t="s">
        <v>135</v>
      </c>
      <c r="B47" s="15">
        <v>10716</v>
      </c>
      <c r="C47" s="15">
        <v>0</v>
      </c>
      <c r="D47" s="15">
        <v>10869</v>
      </c>
      <c r="E47" s="15">
        <v>10869</v>
      </c>
      <c r="F47" s="15">
        <v>11886</v>
      </c>
      <c r="G47" s="16">
        <f>IF(AND(F65&lt;&gt;0,11886&lt;&gt;0),IF(100*11886/(F65-0)&lt;0.005,"*",100*11886/(F65-0)),0)</f>
        <v>0.32924842938028387</v>
      </c>
    </row>
    <row r="48" spans="1:7" x14ac:dyDescent="0.2">
      <c r="A48" s="9" t="s">
        <v>136</v>
      </c>
      <c r="B48" s="15">
        <v>59512</v>
      </c>
      <c r="C48" s="15">
        <v>0</v>
      </c>
      <c r="D48" s="15">
        <v>78418</v>
      </c>
      <c r="E48" s="15">
        <v>78418</v>
      </c>
      <c r="F48" s="15">
        <v>85195</v>
      </c>
      <c r="G48" s="16">
        <f>IF(AND(F65&lt;&gt;0,85195&lt;&gt;0),IF(100*85195/(F65-0)&lt;0.005,"*",100*85195/(F65-0)),0)</f>
        <v>2.3599461501811616</v>
      </c>
    </row>
    <row r="49" spans="1:7" x14ac:dyDescent="0.2">
      <c r="A49" s="9" t="s">
        <v>137</v>
      </c>
      <c r="B49" s="15">
        <v>247137</v>
      </c>
      <c r="C49" s="15">
        <v>0</v>
      </c>
      <c r="D49" s="15">
        <v>261101</v>
      </c>
      <c r="E49" s="15">
        <v>261101</v>
      </c>
      <c r="F49" s="15">
        <v>306728</v>
      </c>
      <c r="G49" s="16">
        <f>IF(AND(F65&lt;&gt;0,306728&lt;&gt;0),IF(100*306728/(F65-0)&lt;0.005,"*",100*306728/(F65-0)),0)</f>
        <v>8.4965263542786236</v>
      </c>
    </row>
    <row r="50" spans="1:7" x14ac:dyDescent="0.2">
      <c r="A50" s="9" t="s">
        <v>138</v>
      </c>
      <c r="B50" s="15">
        <v>33943</v>
      </c>
      <c r="C50" s="15">
        <v>0</v>
      </c>
      <c r="D50" s="15">
        <v>35086</v>
      </c>
      <c r="E50" s="15">
        <v>35086</v>
      </c>
      <c r="F50" s="15">
        <v>37997</v>
      </c>
      <c r="G50" s="16">
        <f>IF(AND(F65&lt;&gt;0,37997&lt;&gt;0),IF(100*37997/(F65-0)&lt;0.005,"*",100*37997/(F65-0)),0)</f>
        <v>1.0525368139965208</v>
      </c>
    </row>
    <row r="51" spans="1:7" x14ac:dyDescent="0.2">
      <c r="A51" s="9" t="s">
        <v>139</v>
      </c>
      <c r="B51" s="15">
        <v>11334</v>
      </c>
      <c r="C51" s="15">
        <v>0</v>
      </c>
      <c r="D51" s="15">
        <v>10869</v>
      </c>
      <c r="E51" s="15">
        <v>10869</v>
      </c>
      <c r="F51" s="15">
        <v>11886</v>
      </c>
      <c r="G51" s="16">
        <f>IF(AND(F65&lt;&gt;0,11886&lt;&gt;0),IF(100*11886/(F65-0)&lt;0.005,"*",100*11886/(F65-0)),0)</f>
        <v>0.32924842938028387</v>
      </c>
    </row>
    <row r="52" spans="1:7" x14ac:dyDescent="0.2">
      <c r="A52" s="9" t="s">
        <v>140</v>
      </c>
      <c r="B52" s="15">
        <v>77851</v>
      </c>
      <c r="C52" s="15">
        <v>0</v>
      </c>
      <c r="D52" s="15">
        <v>72080</v>
      </c>
      <c r="E52" s="15">
        <v>72080</v>
      </c>
      <c r="F52" s="15">
        <v>80132</v>
      </c>
      <c r="G52" s="16">
        <f>IF(AND(F65&lt;&gt;0,80132&lt;&gt;0),IF(100*80132/(F65-0)&lt;0.005,"*",100*80132/(F65-0)),0)</f>
        <v>2.2196983966936656</v>
      </c>
    </row>
    <row r="53" spans="1:7" x14ac:dyDescent="0.2">
      <c r="A53" s="9" t="s">
        <v>141</v>
      </c>
      <c r="B53" s="15">
        <v>63321</v>
      </c>
      <c r="C53" s="15">
        <v>0</v>
      </c>
      <c r="D53" s="15">
        <v>59164</v>
      </c>
      <c r="E53" s="15">
        <v>59164</v>
      </c>
      <c r="F53" s="15">
        <v>63013</v>
      </c>
      <c r="G53" s="16">
        <f>IF(AND(F65&lt;&gt;0,63013&lt;&gt;0),IF(100*63013/(F65-0)&lt;0.005,"*",100*63013/(F65-0)),0)</f>
        <v>1.7454931247299199</v>
      </c>
    </row>
    <row r="54" spans="1:7" x14ac:dyDescent="0.2">
      <c r="A54" s="9" t="s">
        <v>142</v>
      </c>
      <c r="B54" s="15">
        <v>29402</v>
      </c>
      <c r="C54" s="15">
        <v>0</v>
      </c>
      <c r="D54" s="15">
        <v>26741</v>
      </c>
      <c r="E54" s="15">
        <v>26741</v>
      </c>
      <c r="F54" s="15">
        <v>29411</v>
      </c>
      <c r="G54" s="16">
        <f>IF(AND(F65&lt;&gt;0,29411&lt;&gt;0),IF(100*29411/(F65-0)&lt;0.005,"*",100*29411/(F65-0)),0)</f>
        <v>0.81470011412615928</v>
      </c>
    </row>
    <row r="55" spans="1:7" x14ac:dyDescent="0.2">
      <c r="A55" s="9" t="s">
        <v>143</v>
      </c>
      <c r="B55" s="15">
        <v>65053</v>
      </c>
      <c r="C55" s="15">
        <v>0</v>
      </c>
      <c r="D55" s="15">
        <v>62090</v>
      </c>
      <c r="E55" s="15">
        <v>62090</v>
      </c>
      <c r="F55" s="15">
        <v>68056</v>
      </c>
      <c r="G55" s="16">
        <f>IF(AND(F65&lt;&gt;0,68056&lt;&gt;0),IF(100*68056/(F65-0)&lt;0.005,"*",100*68056/(F65-0)),0)</f>
        <v>1.8851868677355375</v>
      </c>
    </row>
    <row r="56" spans="1:7" x14ac:dyDescent="0.2">
      <c r="A56" s="9" t="s">
        <v>144</v>
      </c>
      <c r="B56" s="15">
        <v>10616</v>
      </c>
      <c r="C56" s="15">
        <v>0</v>
      </c>
      <c r="D56" s="15">
        <v>10869</v>
      </c>
      <c r="E56" s="15">
        <v>10869</v>
      </c>
      <c r="F56" s="15">
        <v>11886</v>
      </c>
      <c r="G56" s="16">
        <f>IF(AND(F65&lt;&gt;0,11886&lt;&gt;0),IF(100*11886/(F65-0)&lt;0.005,"*",100*11886/(F65-0)),0)</f>
        <v>0.32924842938028387</v>
      </c>
    </row>
    <row r="57" spans="1:7" x14ac:dyDescent="0.2">
      <c r="A57" s="9" t="s">
        <v>145</v>
      </c>
      <c r="B57" s="15">
        <v>898</v>
      </c>
      <c r="C57" s="15">
        <v>0</v>
      </c>
      <c r="D57" s="15">
        <v>919</v>
      </c>
      <c r="E57" s="15">
        <v>919</v>
      </c>
      <c r="F57" s="15">
        <v>992</v>
      </c>
      <c r="G57" s="16">
        <f>IF(AND(F65&lt;&gt;0,992&lt;&gt;0),IF(100*992/(F65-0)&lt;0.005,"*",100*992/(F65-0)),0)</f>
        <v>2.7478919901164529E-2</v>
      </c>
    </row>
    <row r="58" spans="1:7" x14ac:dyDescent="0.2">
      <c r="A58" s="9" t="s">
        <v>146</v>
      </c>
      <c r="B58" s="15">
        <v>1902</v>
      </c>
      <c r="C58" s="15">
        <v>0</v>
      </c>
      <c r="D58" s="15">
        <v>3053</v>
      </c>
      <c r="E58" s="15">
        <v>3053</v>
      </c>
      <c r="F58" s="15">
        <v>3330</v>
      </c>
      <c r="G58" s="16">
        <f>IF(AND(F65&lt;&gt;0,3330&lt;&gt;0),IF(100*3330/(F65-0)&lt;0.005,"*",100*3330/(F65-0)),0)</f>
        <v>9.2242745232739801E-2</v>
      </c>
    </row>
    <row r="59" spans="1:7" x14ac:dyDescent="0.2">
      <c r="A59" s="9" t="s">
        <v>147</v>
      </c>
      <c r="B59" s="15">
        <v>854</v>
      </c>
      <c r="C59" s="15">
        <v>0</v>
      </c>
      <c r="D59" s="15">
        <v>854</v>
      </c>
      <c r="E59" s="15">
        <v>854</v>
      </c>
      <c r="F59" s="15">
        <v>934</v>
      </c>
      <c r="G59" s="16">
        <f>IF(AND(F65&lt;&gt;0,934&lt;&gt;0),IF(100*934/(F65-0)&lt;0.005,"*",100*934/(F65-0)),0)</f>
        <v>2.5872289503717411E-2</v>
      </c>
    </row>
    <row r="60" spans="1:7" x14ac:dyDescent="0.2">
      <c r="A60" s="9" t="s">
        <v>148</v>
      </c>
      <c r="B60" s="15">
        <v>68027</v>
      </c>
      <c r="C60" s="15">
        <v>0</v>
      </c>
      <c r="D60" s="15">
        <v>68073</v>
      </c>
      <c r="E60" s="15">
        <v>68073</v>
      </c>
      <c r="F60" s="15">
        <v>71299</v>
      </c>
      <c r="G60" s="16">
        <f>IF(AND(F65&lt;&gt;0,71299&lt;&gt;0),IF(100*71299/(F65-0)&lt;0.005,"*",100*71299/(F65-0)),0)</f>
        <v>1.9750196673721068</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2007</v>
      </c>
      <c r="C62" s="15">
        <v>0</v>
      </c>
      <c r="D62" s="15">
        <v>2099</v>
      </c>
      <c r="E62" s="15">
        <v>2099</v>
      </c>
      <c r="F62" s="15">
        <v>2268</v>
      </c>
      <c r="G62" s="16">
        <f>IF(AND(F65&lt;&gt;0,2268&lt;&gt;0),IF(100*2268/(F65-0)&lt;0.005,"*",100*2268/(F65-0)),0)</f>
        <v>6.282478864500117E-2</v>
      </c>
    </row>
    <row r="63" spans="1:7" x14ac:dyDescent="0.2">
      <c r="A63" s="9" t="s">
        <v>151</v>
      </c>
      <c r="B63" s="15">
        <v>40189</v>
      </c>
      <c r="C63" s="15">
        <v>0</v>
      </c>
      <c r="D63" s="15">
        <v>43000</v>
      </c>
      <c r="E63" s="15">
        <v>43000</v>
      </c>
      <c r="F63" s="15">
        <v>44100</v>
      </c>
      <c r="G63" s="16">
        <f>IF(AND(F65&lt;&gt;0,44100&lt;&gt;0),IF(100*44100/(F65-0)&lt;0.005,"*",100*44100/(F65-0)),0)</f>
        <v>1.2215931125416892</v>
      </c>
    </row>
    <row r="64" spans="1:7" x14ac:dyDescent="0.2">
      <c r="A64" s="9" t="s">
        <v>152</v>
      </c>
      <c r="B64" s="15">
        <v>0</v>
      </c>
      <c r="C64" s="15">
        <v>0</v>
      </c>
      <c r="D64" s="15">
        <v>0</v>
      </c>
      <c r="E64" s="15">
        <v>0</v>
      </c>
      <c r="F64" s="15">
        <v>0</v>
      </c>
      <c r="G64" s="16">
        <v>0</v>
      </c>
    </row>
    <row r="65" spans="1:7" ht="15" customHeight="1" x14ac:dyDescent="0.2">
      <c r="A65" s="17" t="s">
        <v>93</v>
      </c>
      <c r="B65" s="18">
        <f>68298+11287+80625+42832+303130+44504+23877+11610+16144+194899+100000+13380+19259+113035+67931+32865+27950+52865+36550+16594+44234+53173+112641+51098+43541+69555+11793+20168+19777+11429+62807+25653+162071+114574+10616+100360+41388+47268+142807+11766+67922+10716+59512+247137+33943+11334+77851+63321+29402+65053+10616+898+1902+854+68027+0+2007+40189+0+0</f>
        <v>3225038</v>
      </c>
      <c r="C65" s="18">
        <f>0+0+0+0+0+0+0+0+0+0+0+0+0+0+0+0+0+0+0+0+0+0+0+0+0+0+0+0+0+0+0+0+0+0+0+0+0+0+0+0+0+0+0+0+0+0+0+0+0+0+0+0+0+0+0+0+0+0+0+0</f>
        <v>0</v>
      </c>
      <c r="D65" s="18">
        <f>65444+10869+74903+39380+303662+45794+21669+10869+14926+201825+117372+12724+19958+115032+77553+33506+28476+59009+57833+16442+45197+48769+113124+50671+44681+70929+12071+18559+28377+10926+62094+26189+148454+117826+10869+134105+42141+43265+129097+10869+62883+10869+78418+261101+35086+10869+72080+59164+26741+62090+10869+919+3053+854+68073+0+2099+43000+0+0</f>
        <v>3303627</v>
      </c>
      <c r="E65" s="18">
        <f>SUM(C65:D65)</f>
        <v>3303627</v>
      </c>
      <c r="F65" s="18">
        <f>71666+11886+84556+43183+312626+51029+23336+11886+16181+223973+127404+13679+22038+123959+84952+37749+32801+64758+64741+17684+48945+51582+122348+55469+49265+78320+13158+20783+30954+12137+67048+28931+157599+128858+11886+146253+50472+46273+140270+11886+68403+11886+85195+306728+37997+11886+80132+63013+29411+68056+11886+992+3330+934+71299+0+2268+44100+0+0</f>
        <v>3610040</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0" t="s">
        <v>168</v>
      </c>
      <c r="B1" s="8"/>
      <c r="C1" s="8"/>
      <c r="D1" s="8"/>
      <c r="E1" s="8"/>
      <c r="F1" s="8"/>
      <c r="G1" s="10" t="s">
        <v>171</v>
      </c>
    </row>
    <row r="2" spans="1:7" x14ac:dyDescent="0.2">
      <c r="A2" s="11" t="s">
        <v>172</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190496</v>
      </c>
      <c r="C6" s="15">
        <v>0</v>
      </c>
      <c r="D6" s="15">
        <v>191704</v>
      </c>
      <c r="E6" s="15">
        <v>191704</v>
      </c>
      <c r="F6" s="15">
        <v>191704</v>
      </c>
      <c r="G6" s="16">
        <f>IF(AND(F67&lt;&gt;0,191704&lt;&gt;0),IF(100*191704/(F67-0)&lt;0.005,"*",100*191704/(F67-0)),0)</f>
        <v>1.550452549620321</v>
      </c>
    </row>
    <row r="7" spans="1:7" x14ac:dyDescent="0.2">
      <c r="A7" s="9" t="s">
        <v>95</v>
      </c>
      <c r="B7" s="15">
        <v>38805</v>
      </c>
      <c r="C7" s="15">
        <v>0</v>
      </c>
      <c r="D7" s="15">
        <v>39093</v>
      </c>
      <c r="E7" s="15">
        <v>39093</v>
      </c>
      <c r="F7" s="15">
        <v>39093</v>
      </c>
      <c r="G7" s="16">
        <f>IF(AND(F67&lt;&gt;0,39093&lt;&gt;0),IF(100*39093/(F67-0)&lt;0.005,"*",100*39093/(F67-0)),0)</f>
        <v>0.31617410968110843</v>
      </c>
    </row>
    <row r="8" spans="1:7" x14ac:dyDescent="0.2">
      <c r="A8" s="9" t="s">
        <v>96</v>
      </c>
      <c r="B8" s="15">
        <v>211326</v>
      </c>
      <c r="C8" s="15">
        <v>0</v>
      </c>
      <c r="D8" s="15">
        <v>215703</v>
      </c>
      <c r="E8" s="15">
        <v>215703</v>
      </c>
      <c r="F8" s="15">
        <v>218939</v>
      </c>
      <c r="G8" s="16">
        <f>IF(AND(F67&lt;&gt;0,218939&lt;&gt;0),IF(100*218939/(F67-0)&lt;0.005,"*",100*218939/(F67-0)),0)</f>
        <v>1.7707222111240426</v>
      </c>
    </row>
    <row r="9" spans="1:7" x14ac:dyDescent="0.2">
      <c r="A9" s="9" t="s">
        <v>97</v>
      </c>
      <c r="B9" s="15">
        <v>117333</v>
      </c>
      <c r="C9" s="15">
        <v>0</v>
      </c>
      <c r="D9" s="15">
        <v>118077</v>
      </c>
      <c r="E9" s="15">
        <v>118077</v>
      </c>
      <c r="F9" s="15">
        <v>118077</v>
      </c>
      <c r="G9" s="16">
        <f>IF(AND(F67&lt;&gt;0,118077&lt;&gt;0),IF(100*118077/(F67-0)&lt;0.005,"*",100*118077/(F67-0)),0)</f>
        <v>0.95497634739764758</v>
      </c>
    </row>
    <row r="10" spans="1:7" x14ac:dyDescent="0.2">
      <c r="A10" s="9" t="s">
        <v>98</v>
      </c>
      <c r="B10" s="15">
        <v>1281755</v>
      </c>
      <c r="C10" s="15">
        <v>0</v>
      </c>
      <c r="D10" s="15">
        <v>1289887</v>
      </c>
      <c r="E10" s="15">
        <v>1289887</v>
      </c>
      <c r="F10" s="15">
        <v>1289887</v>
      </c>
      <c r="G10" s="16">
        <f>IF(AND(F67&lt;&gt;0,1289887&lt;&gt;0),IF(100*1289887/(F67-0)&lt;0.005,"*",100*1289887/(F67-0)),0)</f>
        <v>10.432273650378223</v>
      </c>
    </row>
    <row r="11" spans="1:7" x14ac:dyDescent="0.2">
      <c r="A11" s="9" t="s">
        <v>99</v>
      </c>
      <c r="B11" s="15">
        <v>167501</v>
      </c>
      <c r="C11" s="15">
        <v>0</v>
      </c>
      <c r="D11" s="15">
        <v>168564</v>
      </c>
      <c r="E11" s="15">
        <v>168564</v>
      </c>
      <c r="F11" s="15">
        <v>168564</v>
      </c>
      <c r="G11" s="16">
        <f>IF(AND(F67&lt;&gt;0,168564&lt;&gt;0),IF(100*168564/(F67-0)&lt;0.005,"*",100*168564/(F67-0)),0)</f>
        <v>1.3633021928295694</v>
      </c>
    </row>
    <row r="12" spans="1:7" x14ac:dyDescent="0.2">
      <c r="A12" s="9" t="s">
        <v>100</v>
      </c>
      <c r="B12" s="15">
        <v>139540</v>
      </c>
      <c r="C12" s="15">
        <v>0</v>
      </c>
      <c r="D12" s="15">
        <v>140425</v>
      </c>
      <c r="E12" s="15">
        <v>140425</v>
      </c>
      <c r="F12" s="15">
        <v>140425</v>
      </c>
      <c r="G12" s="16">
        <f>IF(AND(F67&lt;&gt;0,140425&lt;&gt;0),IF(100*140425/(F67-0)&lt;0.005,"*",100*140425/(F67-0)),0)</f>
        <v>1.1357212122878686</v>
      </c>
    </row>
    <row r="13" spans="1:7" x14ac:dyDescent="0.2">
      <c r="A13" s="9" t="s">
        <v>101</v>
      </c>
      <c r="B13" s="15">
        <v>37782</v>
      </c>
      <c r="C13" s="15">
        <v>0</v>
      </c>
      <c r="D13" s="15">
        <v>38070</v>
      </c>
      <c r="E13" s="15">
        <v>38070</v>
      </c>
      <c r="F13" s="15">
        <v>38070</v>
      </c>
      <c r="G13" s="16">
        <f>IF(AND(F67&lt;&gt;0,38070&lt;&gt;0),IF(100*38070/(F67-0)&lt;0.005,"*",100*38070/(F67-0)),0)</f>
        <v>0.30790034930958987</v>
      </c>
    </row>
    <row r="14" spans="1:7" x14ac:dyDescent="0.2">
      <c r="A14" s="9" t="s">
        <v>102</v>
      </c>
      <c r="B14" s="15">
        <v>19667</v>
      </c>
      <c r="C14" s="15">
        <v>0</v>
      </c>
      <c r="D14" s="15">
        <v>20101</v>
      </c>
      <c r="E14" s="15">
        <v>20101</v>
      </c>
      <c r="F14" s="15">
        <v>20402</v>
      </c>
      <c r="G14" s="16">
        <f>IF(AND(F67&lt;&gt;0,20402&lt;&gt;0),IF(100*20402/(F67-0)&lt;0.005,"*",100*20402/(F67-0)),0)</f>
        <v>0.16500611837704893</v>
      </c>
    </row>
    <row r="15" spans="1:7" x14ac:dyDescent="0.2">
      <c r="A15" s="9" t="s">
        <v>103</v>
      </c>
      <c r="B15" s="15">
        <v>674522</v>
      </c>
      <c r="C15" s="15">
        <v>0</v>
      </c>
      <c r="D15" s="15">
        <v>678801</v>
      </c>
      <c r="E15" s="15">
        <v>678801</v>
      </c>
      <c r="F15" s="15">
        <v>678801</v>
      </c>
      <c r="G15" s="16">
        <f>IF(AND(F67&lt;&gt;0,678801&lt;&gt;0),IF(100*678801/(F67-0)&lt;0.005,"*",100*678801/(F67-0)),0)</f>
        <v>5.4899675600656401</v>
      </c>
    </row>
    <row r="16" spans="1:7" x14ac:dyDescent="0.2">
      <c r="A16" s="9" t="s">
        <v>104</v>
      </c>
      <c r="B16" s="15">
        <v>361395</v>
      </c>
      <c r="C16" s="15">
        <v>0</v>
      </c>
      <c r="D16" s="15">
        <v>363688</v>
      </c>
      <c r="E16" s="15">
        <v>363688</v>
      </c>
      <c r="F16" s="15">
        <v>364369</v>
      </c>
      <c r="G16" s="16">
        <f>IF(AND(F67&lt;&gt;0,364369&lt;&gt;0),IF(100*364369/(F67-0)&lt;0.005,"*",100*364369/(F67-0)),0)</f>
        <v>2.9469225736166522</v>
      </c>
    </row>
    <row r="17" spans="1:7" x14ac:dyDescent="0.2">
      <c r="A17" s="9" t="s">
        <v>105</v>
      </c>
      <c r="B17" s="15">
        <v>41721</v>
      </c>
      <c r="C17" s="15">
        <v>0</v>
      </c>
      <c r="D17" s="15">
        <v>41986</v>
      </c>
      <c r="E17" s="15">
        <v>41986</v>
      </c>
      <c r="F17" s="15">
        <v>41986</v>
      </c>
      <c r="G17" s="16">
        <f>IF(AND(F67&lt;&gt;0,41986&lt;&gt;0),IF(100*41986/(F67-0)&lt;0.005,"*",100*41986/(F67-0)),0)</f>
        <v>0.3395719481511017</v>
      </c>
    </row>
    <row r="18" spans="1:7" x14ac:dyDescent="0.2">
      <c r="A18" s="9" t="s">
        <v>106</v>
      </c>
      <c r="B18" s="15">
        <v>59267</v>
      </c>
      <c r="C18" s="15">
        <v>0</v>
      </c>
      <c r="D18" s="15">
        <v>59643</v>
      </c>
      <c r="E18" s="15">
        <v>59643</v>
      </c>
      <c r="F18" s="15">
        <v>59721</v>
      </c>
      <c r="G18" s="16">
        <f>IF(AND(F67&lt;&gt;0,59721&lt;&gt;0),IF(100*59721/(F67-0)&lt;0.005,"*",100*59721/(F67-0)),0)</f>
        <v>0.48300805781765216</v>
      </c>
    </row>
    <row r="19" spans="1:7" x14ac:dyDescent="0.2">
      <c r="A19" s="9" t="s">
        <v>107</v>
      </c>
      <c r="B19" s="15">
        <v>530734</v>
      </c>
      <c r="C19" s="15">
        <v>0</v>
      </c>
      <c r="D19" s="15">
        <v>534101</v>
      </c>
      <c r="E19" s="15">
        <v>534101</v>
      </c>
      <c r="F19" s="15">
        <v>534101</v>
      </c>
      <c r="G19" s="16">
        <f>IF(AND(F67&lt;&gt;0,534101&lt;&gt;0),IF(100*534101/(F67-0)&lt;0.005,"*",100*534101/(F67-0)),0)</f>
        <v>4.3196712494510443</v>
      </c>
    </row>
    <row r="20" spans="1:7" x14ac:dyDescent="0.2">
      <c r="A20" s="9" t="s">
        <v>108</v>
      </c>
      <c r="B20" s="15">
        <v>271332</v>
      </c>
      <c r="C20" s="15">
        <v>0</v>
      </c>
      <c r="D20" s="15">
        <v>273053</v>
      </c>
      <c r="E20" s="15">
        <v>273053</v>
      </c>
      <c r="F20" s="15">
        <v>273053</v>
      </c>
      <c r="G20" s="16">
        <f>IF(AND(F67&lt;&gt;0,273053&lt;&gt;0),IF(100*273053/(F67-0)&lt;0.005,"*",100*273053/(F67-0)),0)</f>
        <v>2.2083822978731664</v>
      </c>
    </row>
    <row r="21" spans="1:7" x14ac:dyDescent="0.2">
      <c r="A21" s="9" t="s">
        <v>109</v>
      </c>
      <c r="B21" s="15">
        <v>128161</v>
      </c>
      <c r="C21" s="15">
        <v>0</v>
      </c>
      <c r="D21" s="15">
        <v>128974</v>
      </c>
      <c r="E21" s="15">
        <v>128974</v>
      </c>
      <c r="F21" s="15">
        <v>128974</v>
      </c>
      <c r="G21" s="16">
        <f>IF(AND(F67&lt;&gt;0,128974&lt;&gt;0),IF(100*128974/(F67-0)&lt;0.005,"*",100*128974/(F67-0)),0)</f>
        <v>1.0431084752260322</v>
      </c>
    </row>
    <row r="22" spans="1:7" x14ac:dyDescent="0.2">
      <c r="A22" s="9" t="s">
        <v>110</v>
      </c>
      <c r="B22" s="15">
        <v>111928</v>
      </c>
      <c r="C22" s="15">
        <v>0</v>
      </c>
      <c r="D22" s="15">
        <v>112638</v>
      </c>
      <c r="E22" s="15">
        <v>112638</v>
      </c>
      <c r="F22" s="15">
        <v>112638</v>
      </c>
      <c r="G22" s="16">
        <f>IF(AND(F67&lt;&gt;0,112638&lt;&gt;0),IF(100*112638/(F67-0)&lt;0.005,"*",100*112638/(F67-0)),0)</f>
        <v>0.91098711703529245</v>
      </c>
    </row>
    <row r="23" spans="1:7" x14ac:dyDescent="0.2">
      <c r="A23" s="9" t="s">
        <v>111</v>
      </c>
      <c r="B23" s="15">
        <v>165732</v>
      </c>
      <c r="C23" s="15">
        <v>0</v>
      </c>
      <c r="D23" s="15">
        <v>166784</v>
      </c>
      <c r="E23" s="15">
        <v>166784</v>
      </c>
      <c r="F23" s="15">
        <v>166784</v>
      </c>
      <c r="G23" s="16">
        <f>IF(AND(F67&lt;&gt;0,166784&lt;&gt;0),IF(100*166784/(F67-0)&lt;0.005,"*",100*166784/(F67-0)),0)</f>
        <v>1.3489060115379732</v>
      </c>
    </row>
    <row r="24" spans="1:7" x14ac:dyDescent="0.2">
      <c r="A24" s="9" t="s">
        <v>112</v>
      </c>
      <c r="B24" s="15">
        <v>197709</v>
      </c>
      <c r="C24" s="15">
        <v>0</v>
      </c>
      <c r="D24" s="15">
        <v>198964</v>
      </c>
      <c r="E24" s="15">
        <v>198964</v>
      </c>
      <c r="F24" s="15">
        <v>198964</v>
      </c>
      <c r="G24" s="16">
        <f>IF(AND(F67&lt;&gt;0,198964&lt;&gt;0),IF(100*198964/(F67-0)&lt;0.005,"*",100*198964/(F67-0)),0)</f>
        <v>1.6091695587085169</v>
      </c>
    </row>
    <row r="25" spans="1:7" x14ac:dyDescent="0.2">
      <c r="A25" s="9" t="s">
        <v>113</v>
      </c>
      <c r="B25" s="15">
        <v>57443</v>
      </c>
      <c r="C25" s="15">
        <v>0</v>
      </c>
      <c r="D25" s="15">
        <v>57807</v>
      </c>
      <c r="E25" s="15">
        <v>57807</v>
      </c>
      <c r="F25" s="15">
        <v>57807</v>
      </c>
      <c r="G25" s="16">
        <f>IF(AND(F67&lt;&gt;0,57807&lt;&gt;0),IF(100*57807/(F67-0)&lt;0.005,"*",100*57807/(F67-0)),0)</f>
        <v>0.46752811905803682</v>
      </c>
    </row>
    <row r="26" spans="1:7" x14ac:dyDescent="0.2">
      <c r="A26" s="9" t="s">
        <v>114</v>
      </c>
      <c r="B26" s="15">
        <v>209868</v>
      </c>
      <c r="C26" s="15">
        <v>0</v>
      </c>
      <c r="D26" s="15">
        <v>211199</v>
      </c>
      <c r="E26" s="15">
        <v>211199</v>
      </c>
      <c r="F26" s="15">
        <v>211199</v>
      </c>
      <c r="G26" s="16">
        <f>IF(AND(F67&lt;&gt;0,211199&lt;&gt;0),IF(100*211199/(F67-0)&lt;0.005,"*",100*211199/(F67-0)),0)</f>
        <v>1.7081230857324947</v>
      </c>
    </row>
    <row r="27" spans="1:7" x14ac:dyDescent="0.2">
      <c r="A27" s="9" t="s">
        <v>115</v>
      </c>
      <c r="B27" s="15">
        <v>297999</v>
      </c>
      <c r="C27" s="15">
        <v>0</v>
      </c>
      <c r="D27" s="15">
        <v>299889</v>
      </c>
      <c r="E27" s="15">
        <v>299889</v>
      </c>
      <c r="F27" s="15">
        <v>299889</v>
      </c>
      <c r="G27" s="16">
        <f>IF(AND(F67&lt;&gt;0,299889&lt;&gt;0),IF(100*299889/(F67-0)&lt;0.005,"*",100*299889/(F67-0)),0)</f>
        <v>2.4254249501997269</v>
      </c>
    </row>
    <row r="28" spans="1:7" x14ac:dyDescent="0.2">
      <c r="A28" s="9" t="s">
        <v>116</v>
      </c>
      <c r="B28" s="15">
        <v>418812</v>
      </c>
      <c r="C28" s="15">
        <v>0</v>
      </c>
      <c r="D28" s="15">
        <v>421469</v>
      </c>
      <c r="E28" s="15">
        <v>421469</v>
      </c>
      <c r="F28" s="15">
        <v>421469</v>
      </c>
      <c r="G28" s="16">
        <f>IF(AND(F67&lt;&gt;0,421469&lt;&gt;0),IF(100*421469/(F67-0)&lt;0.005,"*",100*421469/(F67-0)),0)</f>
        <v>3.4087326588695439</v>
      </c>
    </row>
    <row r="29" spans="1:7" x14ac:dyDescent="0.2">
      <c r="A29" s="9" t="s">
        <v>117</v>
      </c>
      <c r="B29" s="15">
        <v>198984</v>
      </c>
      <c r="C29" s="15">
        <v>0</v>
      </c>
      <c r="D29" s="15">
        <v>200247</v>
      </c>
      <c r="E29" s="15">
        <v>200247</v>
      </c>
      <c r="F29" s="15">
        <v>200247</v>
      </c>
      <c r="G29" s="16">
        <f>IF(AND(F67&lt;&gt;0,200247&lt;&gt;0),IF(100*200247/(F67-0)&lt;0.005,"*",100*200247/(F67-0)),0)</f>
        <v>1.6195461320776843</v>
      </c>
    </row>
    <row r="30" spans="1:7" x14ac:dyDescent="0.2">
      <c r="A30" s="9" t="s">
        <v>118</v>
      </c>
      <c r="B30" s="15">
        <v>125613</v>
      </c>
      <c r="C30" s="15">
        <v>0</v>
      </c>
      <c r="D30" s="15">
        <v>126410</v>
      </c>
      <c r="E30" s="15">
        <v>126410</v>
      </c>
      <c r="F30" s="15">
        <v>126410</v>
      </c>
      <c r="G30" s="16">
        <f>IF(AND(F67&lt;&gt;0,126410&lt;&gt;0),IF(100*126410/(F67-0)&lt;0.005,"*",100*126410/(F67-0)),0)</f>
        <v>1.0223715039722947</v>
      </c>
    </row>
    <row r="31" spans="1:7" x14ac:dyDescent="0.2">
      <c r="A31" s="9" t="s">
        <v>119</v>
      </c>
      <c r="B31" s="15">
        <v>238430</v>
      </c>
      <c r="C31" s="15">
        <v>0</v>
      </c>
      <c r="D31" s="15">
        <v>239942</v>
      </c>
      <c r="E31" s="15">
        <v>239942</v>
      </c>
      <c r="F31" s="15">
        <v>239942</v>
      </c>
      <c r="G31" s="16">
        <f>IF(AND(F67&lt;&gt;0,239942&lt;&gt;0),IF(100*239942/(F67-0)&lt;0.005,"*",100*239942/(F67-0)),0)</f>
        <v>1.9405890626225799</v>
      </c>
    </row>
    <row r="32" spans="1:7" x14ac:dyDescent="0.2">
      <c r="A32" s="9" t="s">
        <v>120</v>
      </c>
      <c r="B32" s="15">
        <v>39555</v>
      </c>
      <c r="C32" s="15">
        <v>0</v>
      </c>
      <c r="D32" s="15">
        <v>39843</v>
      </c>
      <c r="E32" s="15">
        <v>39843</v>
      </c>
      <c r="F32" s="15">
        <v>39843</v>
      </c>
      <c r="G32" s="16">
        <f>IF(AND(F67&lt;&gt;0,39843&lt;&gt;0),IF(100*39843/(F67-0)&lt;0.005,"*",100*39843/(F67-0)),0)</f>
        <v>0.32223991640509558</v>
      </c>
    </row>
    <row r="33" spans="1:7" x14ac:dyDescent="0.2">
      <c r="A33" s="9" t="s">
        <v>121</v>
      </c>
      <c r="B33" s="15">
        <v>78387</v>
      </c>
      <c r="C33" s="15">
        <v>0</v>
      </c>
      <c r="D33" s="15">
        <v>78884</v>
      </c>
      <c r="E33" s="15">
        <v>78884</v>
      </c>
      <c r="F33" s="15">
        <v>78884</v>
      </c>
      <c r="G33" s="16">
        <f>IF(AND(F67&lt;&gt;0,78884&lt;&gt;0),IF(100*78884/(F67-0)&lt;0.005,"*",100*78884/(F67-0)),0)</f>
        <v>0.63799346348667418</v>
      </c>
    </row>
    <row r="34" spans="1:7" x14ac:dyDescent="0.2">
      <c r="A34" s="9" t="s">
        <v>122</v>
      </c>
      <c r="B34" s="15">
        <v>80286</v>
      </c>
      <c r="C34" s="15">
        <v>0</v>
      </c>
      <c r="D34" s="15">
        <v>82056</v>
      </c>
      <c r="E34" s="15">
        <v>82056</v>
      </c>
      <c r="F34" s="15">
        <v>83287</v>
      </c>
      <c r="G34" s="16">
        <f>IF(AND(F67&lt;&gt;0,83287&lt;&gt;0),IF(100*83287/(F67-0)&lt;0.005,"*",100*83287/(F67-0)),0)</f>
        <v>0.67360379282762839</v>
      </c>
    </row>
    <row r="35" spans="1:7" x14ac:dyDescent="0.2">
      <c r="A35" s="9" t="s">
        <v>123</v>
      </c>
      <c r="B35" s="15">
        <v>49814</v>
      </c>
      <c r="C35" s="15">
        <v>0</v>
      </c>
      <c r="D35" s="15">
        <v>50130</v>
      </c>
      <c r="E35" s="15">
        <v>50130</v>
      </c>
      <c r="F35" s="15">
        <v>50130</v>
      </c>
      <c r="G35" s="16">
        <f>IF(AND(F67&lt;&gt;0,50130&lt;&gt;0),IF(100*50130/(F67-0)&lt;0.005,"*",100*50130/(F67-0)),0)</f>
        <v>0.40543852143130393</v>
      </c>
    </row>
    <row r="36" spans="1:7" x14ac:dyDescent="0.2">
      <c r="A36" s="9" t="s">
        <v>124</v>
      </c>
      <c r="B36" s="15">
        <v>379451</v>
      </c>
      <c r="C36" s="15">
        <v>0</v>
      </c>
      <c r="D36" s="15">
        <v>381858</v>
      </c>
      <c r="E36" s="15">
        <v>381858</v>
      </c>
      <c r="F36" s="15">
        <v>381858</v>
      </c>
      <c r="G36" s="16">
        <f>IF(AND(F67&lt;&gt;0,381858&lt;&gt;0),IF(100*381858/(F67-0)&lt;0.005,"*",100*381858/(F67-0)),0)</f>
        <v>3.088369098677735</v>
      </c>
    </row>
    <row r="37" spans="1:7" x14ac:dyDescent="0.2">
      <c r="A37" s="9" t="s">
        <v>125</v>
      </c>
      <c r="B37" s="15">
        <v>95617</v>
      </c>
      <c r="C37" s="15">
        <v>0</v>
      </c>
      <c r="D37" s="15">
        <v>96223</v>
      </c>
      <c r="E37" s="15">
        <v>96223</v>
      </c>
      <c r="F37" s="15">
        <v>96223</v>
      </c>
      <c r="G37" s="16">
        <f>IF(AND(F67&lt;&gt;0,96223&lt;&gt;0),IF(100*96223/(F67-0)&lt;0.005,"*",100*96223/(F67-0)),0)</f>
        <v>0.77822682720295944</v>
      </c>
    </row>
    <row r="38" spans="1:7" x14ac:dyDescent="0.2">
      <c r="A38" s="9" t="s">
        <v>126</v>
      </c>
      <c r="B38" s="15">
        <v>796285</v>
      </c>
      <c r="C38" s="15">
        <v>0</v>
      </c>
      <c r="D38" s="15">
        <v>801336</v>
      </c>
      <c r="E38" s="15">
        <v>801336</v>
      </c>
      <c r="F38" s="15">
        <v>801336</v>
      </c>
      <c r="G38" s="16">
        <f>IF(AND(F67&lt;&gt;0,801336&lt;&gt;0),IF(100*801336/(F67-0)&lt;0.005,"*",100*801336/(F67-0)),0)</f>
        <v>6.4809990626306675</v>
      </c>
    </row>
    <row r="39" spans="1:7" x14ac:dyDescent="0.2">
      <c r="A39" s="9" t="s">
        <v>127</v>
      </c>
      <c r="B39" s="15">
        <v>353310</v>
      </c>
      <c r="C39" s="15">
        <v>0</v>
      </c>
      <c r="D39" s="15">
        <v>355552</v>
      </c>
      <c r="E39" s="15">
        <v>355552</v>
      </c>
      <c r="F39" s="15">
        <v>355552</v>
      </c>
      <c r="G39" s="16">
        <f>IF(AND(F67&lt;&gt;0,355552&lt;&gt;0),IF(100*355552/(F67-0)&lt;0.005,"*",100*355552/(F67-0)),0)</f>
        <v>2.8756129497694589</v>
      </c>
    </row>
    <row r="40" spans="1:7" x14ac:dyDescent="0.2">
      <c r="A40" s="9" t="s">
        <v>128</v>
      </c>
      <c r="B40" s="15">
        <v>31761</v>
      </c>
      <c r="C40" s="15">
        <v>0</v>
      </c>
      <c r="D40" s="15">
        <v>32461</v>
      </c>
      <c r="E40" s="15">
        <v>32461</v>
      </c>
      <c r="F40" s="15">
        <v>32948</v>
      </c>
      <c r="G40" s="16">
        <f>IF(AND(F67&lt;&gt;0,32948&lt;&gt;0),IF(100*32948/(F67-0)&lt;0.005,"*",100*32948/(F67-0)),0)</f>
        <v>0.26647493325590665</v>
      </c>
    </row>
    <row r="41" spans="1:7" x14ac:dyDescent="0.2">
      <c r="A41" s="9" t="s">
        <v>129</v>
      </c>
      <c r="B41" s="15">
        <v>457817</v>
      </c>
      <c r="C41" s="15">
        <v>0</v>
      </c>
      <c r="D41" s="15">
        <v>460721</v>
      </c>
      <c r="E41" s="15">
        <v>460721</v>
      </c>
      <c r="F41" s="15">
        <v>460721</v>
      </c>
      <c r="G41" s="16">
        <f>IF(AND(F67&lt;&gt;0,460721&lt;&gt;0),IF(100*460721/(F67-0)&lt;0.005,"*",100*460721/(F67-0)),0)</f>
        <v>3.7261927195761375</v>
      </c>
    </row>
    <row r="42" spans="1:7" x14ac:dyDescent="0.2">
      <c r="A42" s="9" t="s">
        <v>130</v>
      </c>
      <c r="B42" s="15">
        <v>155678</v>
      </c>
      <c r="C42" s="15">
        <v>0</v>
      </c>
      <c r="D42" s="15">
        <v>156666</v>
      </c>
      <c r="E42" s="15">
        <v>156666</v>
      </c>
      <c r="F42" s="15">
        <v>156666</v>
      </c>
      <c r="G42" s="16">
        <f>IF(AND(F67&lt;&gt;0,156666&lt;&gt;0),IF(100*156666/(F67-0)&lt;0.005,"*",100*156666/(F67-0)),0)</f>
        <v>1.2670742349602366</v>
      </c>
    </row>
    <row r="43" spans="1:7" x14ac:dyDescent="0.2">
      <c r="A43" s="9" t="s">
        <v>131</v>
      </c>
      <c r="B43" s="15">
        <v>135039</v>
      </c>
      <c r="C43" s="15">
        <v>0</v>
      </c>
      <c r="D43" s="15">
        <v>135895</v>
      </c>
      <c r="E43" s="15">
        <v>135895</v>
      </c>
      <c r="F43" s="15">
        <v>135895</v>
      </c>
      <c r="G43" s="16">
        <f>IF(AND(F67&lt;&gt;0,135895&lt;&gt;0),IF(100*135895/(F67-0)&lt;0.005,"*",100*135895/(F67-0)),0)</f>
        <v>1.099083739674986</v>
      </c>
    </row>
    <row r="44" spans="1:7" x14ac:dyDescent="0.2">
      <c r="A44" s="9" t="s">
        <v>132</v>
      </c>
      <c r="B44" s="15">
        <v>446897</v>
      </c>
      <c r="C44" s="15">
        <v>0</v>
      </c>
      <c r="D44" s="15">
        <v>449732</v>
      </c>
      <c r="E44" s="15">
        <v>449732</v>
      </c>
      <c r="F44" s="15">
        <v>449732</v>
      </c>
      <c r="G44" s="16">
        <f>IF(AND(F67&lt;&gt;0,449732&lt;&gt;0),IF(100*449732/(F67-0)&lt;0.005,"*",100*449732/(F67-0)),0)</f>
        <v>3.6373165194562773</v>
      </c>
    </row>
    <row r="45" spans="1:7" x14ac:dyDescent="0.2">
      <c r="A45" s="9" t="s">
        <v>133</v>
      </c>
      <c r="B45" s="15">
        <v>45907</v>
      </c>
      <c r="C45" s="15">
        <v>0</v>
      </c>
      <c r="D45" s="15">
        <v>46198</v>
      </c>
      <c r="E45" s="15">
        <v>46198</v>
      </c>
      <c r="F45" s="15">
        <v>46198</v>
      </c>
      <c r="G45" s="16">
        <f>IF(AND(F67&lt;&gt;0,46198&lt;&gt;0),IF(100*46198/(F67-0)&lt;0.005,"*",100*46198/(F67-0)),0)</f>
        <v>0.37363751871301376</v>
      </c>
    </row>
    <row r="46" spans="1:7" x14ac:dyDescent="0.2">
      <c r="A46" s="9" t="s">
        <v>134</v>
      </c>
      <c r="B46" s="15">
        <v>185646</v>
      </c>
      <c r="C46" s="15">
        <v>0</v>
      </c>
      <c r="D46" s="15">
        <v>186823</v>
      </c>
      <c r="E46" s="15">
        <v>186823</v>
      </c>
      <c r="F46" s="15">
        <v>186823</v>
      </c>
      <c r="G46" s="16">
        <f>IF(AND(F67&lt;&gt;0,186823&lt;&gt;0),IF(100*186823/(F67-0)&lt;0.005,"*",100*186823/(F67-0)),0)</f>
        <v>1.5109762794606123</v>
      </c>
    </row>
    <row r="47" spans="1:7" x14ac:dyDescent="0.2">
      <c r="A47" s="9" t="s">
        <v>135</v>
      </c>
      <c r="B47" s="15">
        <v>37415</v>
      </c>
      <c r="C47" s="15">
        <v>0</v>
      </c>
      <c r="D47" s="15">
        <v>37703</v>
      </c>
      <c r="E47" s="15">
        <v>37703</v>
      </c>
      <c r="F47" s="15">
        <v>37703</v>
      </c>
      <c r="G47" s="16">
        <f>IF(AND(F67&lt;&gt;0,37703&lt;&gt;0),IF(100*37703/(F67-0)&lt;0.005,"*",100*37703/(F67-0)),0)</f>
        <v>0.30493214788598549</v>
      </c>
    </row>
    <row r="48" spans="1:7" x14ac:dyDescent="0.2">
      <c r="A48" s="9" t="s">
        <v>136</v>
      </c>
      <c r="B48" s="15">
        <v>249312</v>
      </c>
      <c r="C48" s="15">
        <v>0</v>
      </c>
      <c r="D48" s="15">
        <v>250893</v>
      </c>
      <c r="E48" s="15">
        <v>250893</v>
      </c>
      <c r="F48" s="15">
        <v>250893</v>
      </c>
      <c r="G48" s="16">
        <f>IF(AND(F67&lt;&gt;0,250893&lt;&gt;0),IF(100*250893/(F67-0)&lt;0.005,"*",100*250893/(F67-0)),0)</f>
        <v>2.0291579285350916</v>
      </c>
    </row>
    <row r="49" spans="1:7" x14ac:dyDescent="0.2">
      <c r="A49" s="9" t="s">
        <v>137</v>
      </c>
      <c r="B49" s="15">
        <v>1068319</v>
      </c>
      <c r="C49" s="15">
        <v>0</v>
      </c>
      <c r="D49" s="15">
        <v>1075096</v>
      </c>
      <c r="E49" s="15">
        <v>1075096</v>
      </c>
      <c r="F49" s="15">
        <v>1075096</v>
      </c>
      <c r="G49" s="16">
        <f>IF(AND(F67&lt;&gt;0,1075096&lt;&gt;0),IF(100*1075096/(F67-0)&lt;0.005,"*",100*1075096/(F67-0)),0)</f>
        <v>8.6950993943089792</v>
      </c>
    </row>
    <row r="50" spans="1:7" x14ac:dyDescent="0.2">
      <c r="A50" s="9" t="s">
        <v>138</v>
      </c>
      <c r="B50" s="15">
        <v>120755</v>
      </c>
      <c r="C50" s="15">
        <v>0</v>
      </c>
      <c r="D50" s="15">
        <v>121521</v>
      </c>
      <c r="E50" s="15">
        <v>121521</v>
      </c>
      <c r="F50" s="15">
        <v>123344</v>
      </c>
      <c r="G50" s="16">
        <f>IF(AND(F67&lt;&gt;0,123344&lt;&gt;0),IF(100*123344/(F67-0)&lt;0.005,"*",100*123344/(F67-0)),0)</f>
        <v>0.99757448608463495</v>
      </c>
    </row>
    <row r="51" spans="1:7" x14ac:dyDescent="0.2">
      <c r="A51" s="9" t="s">
        <v>139</v>
      </c>
      <c r="B51" s="15">
        <v>30624</v>
      </c>
      <c r="C51" s="15">
        <v>0</v>
      </c>
      <c r="D51" s="15">
        <v>31299</v>
      </c>
      <c r="E51" s="15">
        <v>31299</v>
      </c>
      <c r="F51" s="15">
        <v>31769</v>
      </c>
      <c r="G51" s="16">
        <f>IF(AND(F67&lt;&gt;0,31769&lt;&gt;0),IF(100*31769/(F67-0)&lt;0.005,"*",100*31769/(F67-0)),0)</f>
        <v>0.25693948508579884</v>
      </c>
    </row>
    <row r="52" spans="1:7" x14ac:dyDescent="0.2">
      <c r="A52" s="9" t="s">
        <v>140</v>
      </c>
      <c r="B52" s="15">
        <v>298100</v>
      </c>
      <c r="C52" s="15">
        <v>0</v>
      </c>
      <c r="D52" s="15">
        <v>299991</v>
      </c>
      <c r="E52" s="15">
        <v>299991</v>
      </c>
      <c r="F52" s="15">
        <v>299991</v>
      </c>
      <c r="G52" s="16">
        <f>IF(AND(F67&lt;&gt;0,299991&lt;&gt;0),IF(100*299991/(F67-0)&lt;0.005,"*",100*299991/(F67-0)),0)</f>
        <v>2.4262498999141893</v>
      </c>
    </row>
    <row r="53" spans="1:7" x14ac:dyDescent="0.2">
      <c r="A53" s="9" t="s">
        <v>141</v>
      </c>
      <c r="B53" s="15">
        <v>231413</v>
      </c>
      <c r="C53" s="15">
        <v>0</v>
      </c>
      <c r="D53" s="15">
        <v>232882</v>
      </c>
      <c r="E53" s="15">
        <v>232882</v>
      </c>
      <c r="F53" s="15">
        <v>232882</v>
      </c>
      <c r="G53" s="16">
        <f>IF(AND(F67&lt;&gt;0,232882&lt;&gt;0),IF(100*232882/(F67-0)&lt;0.005,"*",100*232882/(F67-0)),0)</f>
        <v>1.8834896019941136</v>
      </c>
    </row>
    <row r="54" spans="1:7" x14ac:dyDescent="0.2">
      <c r="A54" s="9" t="s">
        <v>142</v>
      </c>
      <c r="B54" s="15">
        <v>79725</v>
      </c>
      <c r="C54" s="15">
        <v>0</v>
      </c>
      <c r="D54" s="15">
        <v>80231</v>
      </c>
      <c r="E54" s="15">
        <v>80231</v>
      </c>
      <c r="F54" s="15">
        <v>80231</v>
      </c>
      <c r="G54" s="16">
        <f>IF(AND(F67&lt;&gt;0,80231&lt;&gt;0),IF(100*80231/(F67-0)&lt;0.005,"*",100*80231/(F67-0)),0)</f>
        <v>0.6488876523629552</v>
      </c>
    </row>
    <row r="55" spans="1:7" x14ac:dyDescent="0.2">
      <c r="A55" s="9" t="s">
        <v>143</v>
      </c>
      <c r="B55" s="15">
        <v>218219</v>
      </c>
      <c r="C55" s="15">
        <v>0</v>
      </c>
      <c r="D55" s="15">
        <v>219604</v>
      </c>
      <c r="E55" s="15">
        <v>219604</v>
      </c>
      <c r="F55" s="15">
        <v>219604</v>
      </c>
      <c r="G55" s="16">
        <f>IF(AND(F67&lt;&gt;0,219604&lt;&gt;0),IF(100*219604/(F67-0)&lt;0.005,"*",100*219604/(F67-0)),0)</f>
        <v>1.7761005597526445</v>
      </c>
    </row>
    <row r="56" spans="1:7" x14ac:dyDescent="0.2">
      <c r="A56" s="9" t="s">
        <v>144</v>
      </c>
      <c r="B56" s="15">
        <v>32127</v>
      </c>
      <c r="C56" s="15">
        <v>0</v>
      </c>
      <c r="D56" s="15">
        <v>32836</v>
      </c>
      <c r="E56" s="15">
        <v>32836</v>
      </c>
      <c r="F56" s="15">
        <v>33328</v>
      </c>
      <c r="G56" s="16">
        <f>IF(AND(F67&lt;&gt;0,33328&lt;&gt;0),IF(100*33328/(F67-0)&lt;0.005,"*",100*33328/(F67-0)),0)</f>
        <v>0.26954827532939352</v>
      </c>
    </row>
    <row r="57" spans="1:7" x14ac:dyDescent="0.2">
      <c r="A57" s="9" t="s">
        <v>145</v>
      </c>
      <c r="B57" s="15">
        <v>6369</v>
      </c>
      <c r="C57" s="15">
        <v>0</v>
      </c>
      <c r="D57" s="15">
        <v>7130</v>
      </c>
      <c r="E57" s="15">
        <v>7130</v>
      </c>
      <c r="F57" s="15">
        <v>7130</v>
      </c>
      <c r="G57" s="16">
        <f>IF(AND(F67&lt;&gt;0,7130&lt;&gt;0),IF(100*7130/(F67-0)&lt;0.005,"*",100*7130/(F67-0)),0)</f>
        <v>5.7665602589371576E-2</v>
      </c>
    </row>
    <row r="58" spans="1:7" x14ac:dyDescent="0.2">
      <c r="A58" s="9" t="s">
        <v>146</v>
      </c>
      <c r="B58" s="15">
        <v>14121</v>
      </c>
      <c r="C58" s="15">
        <v>0</v>
      </c>
      <c r="D58" s="15">
        <v>16818</v>
      </c>
      <c r="E58" s="15">
        <v>16818</v>
      </c>
      <c r="F58" s="15">
        <v>16818</v>
      </c>
      <c r="G58" s="16">
        <f>IF(AND(F67&lt;&gt;0,16818&lt;&gt;0),IF(100*16818/(F67-0)&lt;0.005,"*",100*16818/(F67-0)),0)</f>
        <v>0.13601964997868879</v>
      </c>
    </row>
    <row r="59" spans="1:7" x14ac:dyDescent="0.2">
      <c r="A59" s="9" t="s">
        <v>147</v>
      </c>
      <c r="B59" s="15">
        <v>4839</v>
      </c>
      <c r="C59" s="15">
        <v>0</v>
      </c>
      <c r="D59" s="15">
        <v>5089</v>
      </c>
      <c r="E59" s="15">
        <v>5089</v>
      </c>
      <c r="F59" s="15">
        <v>5089</v>
      </c>
      <c r="G59" s="16">
        <f>IF(AND(F67&lt;&gt;0,5089&lt;&gt;0),IF(100*5089/(F67-0)&lt;0.005,"*",100*5089/(F67-0)),0)</f>
        <v>4.115852055782776E-2</v>
      </c>
    </row>
    <row r="60" spans="1:7" x14ac:dyDescent="0.2">
      <c r="A60" s="9" t="s">
        <v>148</v>
      </c>
      <c r="B60" s="15">
        <v>127835</v>
      </c>
      <c r="C60" s="15">
        <v>0</v>
      </c>
      <c r="D60" s="15">
        <v>128646</v>
      </c>
      <c r="E60" s="15">
        <v>128646</v>
      </c>
      <c r="F60" s="15">
        <v>129847</v>
      </c>
      <c r="G60" s="16">
        <f>IF(AND(F67&lt;&gt;0,129847&lt;&gt;0),IF(100*129847/(F67-0)&lt;0.005,"*",100*129847/(F67-0)),0)</f>
        <v>1.0501690742527532</v>
      </c>
    </row>
    <row r="61" spans="1:7" x14ac:dyDescent="0.2">
      <c r="A61" s="9" t="s">
        <v>149</v>
      </c>
      <c r="B61" s="15">
        <v>6579</v>
      </c>
      <c r="C61" s="15">
        <v>0</v>
      </c>
      <c r="D61" s="15">
        <v>6579</v>
      </c>
      <c r="E61" s="15">
        <v>6579</v>
      </c>
      <c r="F61" s="15">
        <v>6579</v>
      </c>
      <c r="G61" s="16">
        <f>IF(AND(F67&lt;&gt;0,6579&lt;&gt;0),IF(100*6579/(F67-0)&lt;0.005,"*",100*6579/(F67-0)),0)</f>
        <v>5.3209256582815653E-2</v>
      </c>
    </row>
    <row r="62" spans="1:7" x14ac:dyDescent="0.2">
      <c r="A62" s="9" t="s">
        <v>150</v>
      </c>
      <c r="B62" s="15">
        <v>8975</v>
      </c>
      <c r="C62" s="15">
        <v>0</v>
      </c>
      <c r="D62" s="15">
        <v>8975</v>
      </c>
      <c r="E62" s="15">
        <v>8975</v>
      </c>
      <c r="F62" s="15">
        <v>8975</v>
      </c>
      <c r="G62" s="16">
        <f>IF(AND(F67&lt;&gt;0,8975&lt;&gt;0),IF(100*8975/(F67-0)&lt;0.005,"*",100*8975/(F67-0)),0)</f>
        <v>7.2587487130380074E-2</v>
      </c>
    </row>
    <row r="63" spans="1:7" x14ac:dyDescent="0.2">
      <c r="A63" s="9" t="s">
        <v>151</v>
      </c>
      <c r="B63" s="15">
        <v>0</v>
      </c>
      <c r="C63" s="15">
        <v>0</v>
      </c>
      <c r="D63" s="15">
        <v>0</v>
      </c>
      <c r="E63" s="15">
        <v>0</v>
      </c>
      <c r="F63" s="15">
        <v>0</v>
      </c>
      <c r="G63" s="16">
        <f>IF(AND(F67&lt;&gt;0,0&lt;&gt;0),IF(100*0/(F67-0)&lt;0.005,"*",100*0/(F67-0)),0)</f>
        <v>0</v>
      </c>
    </row>
    <row r="64" spans="1:7" x14ac:dyDescent="0.2">
      <c r="A64" s="9" t="s">
        <v>152</v>
      </c>
      <c r="B64" s="15">
        <v>0</v>
      </c>
      <c r="C64" s="15">
        <v>0</v>
      </c>
      <c r="D64" s="15">
        <v>0</v>
      </c>
      <c r="E64" s="15">
        <v>0</v>
      </c>
      <c r="F64" s="15">
        <v>0</v>
      </c>
      <c r="G64" s="16">
        <v>0</v>
      </c>
    </row>
    <row r="65" spans="1:7" x14ac:dyDescent="0.2">
      <c r="A65" s="9" t="s">
        <v>173</v>
      </c>
      <c r="B65" s="15">
        <v>21000</v>
      </c>
      <c r="C65" s="15">
        <v>0</v>
      </c>
      <c r="D65" s="15">
        <v>20000</v>
      </c>
      <c r="E65" s="15">
        <v>20000</v>
      </c>
      <c r="F65" s="15">
        <v>10000</v>
      </c>
      <c r="G65" s="16">
        <f>IF(AND(F67&lt;&gt;0,10000&lt;&gt;0),IF(100*10000/(F67-0)&lt;0.005,"*",100*10000/(F67-0)),0)</f>
        <v>8.0877422986495903E-2</v>
      </c>
    </row>
    <row r="66" spans="1:7" x14ac:dyDescent="0.2">
      <c r="A66" s="9" t="s">
        <v>174</v>
      </c>
      <c r="B66" s="15">
        <v>96818</v>
      </c>
      <c r="C66" s="15">
        <v>0</v>
      </c>
      <c r="D66" s="15">
        <v>97500</v>
      </c>
      <c r="E66" s="15">
        <v>97500</v>
      </c>
      <c r="F66" s="15">
        <v>97500</v>
      </c>
      <c r="G66" s="16">
        <f>IF(AND(F67&lt;&gt;0,97500&lt;&gt;0),IF(100*97500/(F67-0)&lt;0.005,"*",100*97500/(F67-0)),0)</f>
        <v>0.78855487411833503</v>
      </c>
    </row>
    <row r="67" spans="1:7" ht="15" customHeight="1" x14ac:dyDescent="0.2">
      <c r="A67" s="17" t="s">
        <v>93</v>
      </c>
      <c r="B67" s="18">
        <f>190496+38805+211326+117333+1281755+167501+139540+37782+19667+674522+361395+41721+59267+530734+271332+128161+111928+165732+197709+57443+209868+297999+418812+198984+125613+238430+39555+78387+80286+49814+379451+95617+796285+353310+31761+457817+155678+135039+446897+45907+185646+37415+249312+1068319+120755+30624+298100+231413+79725+218219+32127+6369+14121+4839+127835+6579+8975+0+0+21000+96818+0</f>
        <v>12277850</v>
      </c>
      <c r="C67" s="18">
        <f>0+0+0+0+0+0+0+0+0+0+0+0+0+0+0+0+0+0+0+0+0+0+0+0+0+0+0+0+0+0+0+0+0+0+0+0+0+0+0+0+0+0+0+0+0+0+0+0+0+0+0+0+0+0+0+0+0+0+0+0+0+0</f>
        <v>0</v>
      </c>
      <c r="D67" s="18">
        <f>191704+39093+215703+118077+1289887+168564+140425+38070+20101+678801+363688+41986+59643+534101+273053+128974+112638+166784+198964+57807+211199+299889+421469+200247+126410+239942+39843+78884+82056+50130+381858+96223+801336+355552+32461+460721+156666+135895+449732+46198+186823+37703+250893+1075096+121521+31299+299991+232882+80231+219604+32836+7130+16818+5089+128646+6579+8975+0+0+20000+97500+0</f>
        <v>12364390</v>
      </c>
      <c r="E67" s="18">
        <f>SUM(C67:D67)</f>
        <v>12364390</v>
      </c>
      <c r="F67" s="18">
        <f>191704+39093+218939+118077+1289887+168564+140425+38070+20402+678801+364369+41986+59721+534101+273053+128974+112638+166784+198964+57807+211199+299889+421469+200247+126410+239942+39843+78884+83287+50130+381858+96223+801336+355552+32948+460721+156666+135895+449732+46198+186823+37703+250893+1075096+123344+31769+299991+232882+80231+219604+33328+7130+16818+5089+129847+6579+8975+0+0+10000+97500+0</f>
        <v>12364390</v>
      </c>
      <c r="G67" s="19" t="s">
        <v>153</v>
      </c>
    </row>
    <row r="68" spans="1:7" ht="15" customHeight="1" x14ac:dyDescent="0.2">
      <c r="A68" s="66" t="s">
        <v>155</v>
      </c>
      <c r="B68" s="66"/>
      <c r="C68" s="66"/>
      <c r="D68" s="66"/>
      <c r="E68" s="66"/>
      <c r="F68" s="66"/>
      <c r="G68" s="66"/>
    </row>
  </sheetData>
  <mergeCells count="5">
    <mergeCell ref="A68:G68"/>
    <mergeCell ref="A4:A5"/>
    <mergeCell ref="B4:B5"/>
    <mergeCell ref="F4:F5"/>
    <mergeCell ref="G4:G5"/>
  </mergeCells>
  <pageMargins left="0.7" right="0.7" top="0.75" bottom="0.75" header="0.3" footer="0.3"/>
  <pageSetup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176</v>
      </c>
    </row>
    <row r="2" spans="1:7" x14ac:dyDescent="0.2">
      <c r="A2" s="11" t="s">
        <v>177</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93007</v>
      </c>
      <c r="C6" s="15">
        <v>0</v>
      </c>
      <c r="D6" s="15">
        <v>93007</v>
      </c>
      <c r="E6" s="15">
        <v>93007</v>
      </c>
      <c r="F6" s="15">
        <v>83984</v>
      </c>
      <c r="G6" s="16">
        <f>IF(AND(F65&lt;&gt;0,83984&lt;&gt;0),IF(100*83984/(F65-0)&lt;0.005,"*",100*83984/(F65-0)),0)</f>
        <v>0.56327720235054746</v>
      </c>
    </row>
    <row r="7" spans="1:7" x14ac:dyDescent="0.2">
      <c r="A7" s="9" t="s">
        <v>95</v>
      </c>
      <c r="B7" s="15">
        <v>44397</v>
      </c>
      <c r="C7" s="15">
        <v>0</v>
      </c>
      <c r="D7" s="15">
        <v>44397</v>
      </c>
      <c r="E7" s="15">
        <v>44397</v>
      </c>
      <c r="F7" s="15">
        <v>40090</v>
      </c>
      <c r="G7" s="16">
        <f>IF(AND(F65&lt;&gt;0,40090&lt;&gt;0),IF(100*40090/(F65-0)&lt;0.005,"*",100*40090/(F65-0)),0)</f>
        <v>0.26888196611537257</v>
      </c>
    </row>
    <row r="8" spans="1:7" x14ac:dyDescent="0.2">
      <c r="A8" s="9" t="s">
        <v>96</v>
      </c>
      <c r="B8" s="15">
        <v>199407</v>
      </c>
      <c r="C8" s="15">
        <v>0</v>
      </c>
      <c r="D8" s="15">
        <v>199407</v>
      </c>
      <c r="E8" s="15">
        <v>199407</v>
      </c>
      <c r="F8" s="15">
        <v>180061</v>
      </c>
      <c r="G8" s="16">
        <f>IF(AND(F65&lt;&gt;0,180061&lt;&gt;0),IF(100*180061/(F65-0)&lt;0.005,"*",100*180061/(F65-0)),0)</f>
        <v>1.2076616537964604</v>
      </c>
    </row>
    <row r="9" spans="1:7" x14ac:dyDescent="0.2">
      <c r="A9" s="9" t="s">
        <v>97</v>
      </c>
      <c r="B9" s="15">
        <v>56546</v>
      </c>
      <c r="C9" s="15">
        <v>0</v>
      </c>
      <c r="D9" s="15">
        <v>56546</v>
      </c>
      <c r="E9" s="15">
        <v>56546</v>
      </c>
      <c r="F9" s="15">
        <v>51060</v>
      </c>
      <c r="G9" s="16">
        <f>IF(AND(F65&lt;&gt;0,51060&lt;&gt;0),IF(100*51060/(F65-0)&lt;0.005,"*",100*51060/(F65-0)),0)</f>
        <v>0.34245730081942938</v>
      </c>
    </row>
    <row r="10" spans="1:7" x14ac:dyDescent="0.2">
      <c r="A10" s="9" t="s">
        <v>98</v>
      </c>
      <c r="B10" s="15">
        <v>3637503</v>
      </c>
      <c r="C10" s="15">
        <v>0</v>
      </c>
      <c r="D10" s="15">
        <v>3636708</v>
      </c>
      <c r="E10" s="15">
        <v>3636708</v>
      </c>
      <c r="F10" s="15">
        <v>3283873</v>
      </c>
      <c r="G10" s="16">
        <f>IF(AND(F65&lt;&gt;0,3283873&lt;&gt;0),IF(100*3283873/(F65-0)&lt;0.005,"*",100*3283873/(F65-0)),0)</f>
        <v>22.024799918014139</v>
      </c>
    </row>
    <row r="11" spans="1:7" x14ac:dyDescent="0.2">
      <c r="A11" s="9" t="s">
        <v>99</v>
      </c>
      <c r="B11" s="15">
        <v>135608</v>
      </c>
      <c r="C11" s="15">
        <v>0</v>
      </c>
      <c r="D11" s="15">
        <v>135608</v>
      </c>
      <c r="E11" s="15">
        <v>135608</v>
      </c>
      <c r="F11" s="15">
        <v>122451</v>
      </c>
      <c r="G11" s="16">
        <f>IF(AND(F65&lt;&gt;0,122451&lt;&gt;0),IF(100*122451/(F65-0)&lt;0.005,"*",100*122451/(F65-0)),0)</f>
        <v>0.82127377482647757</v>
      </c>
    </row>
    <row r="12" spans="1:7" x14ac:dyDescent="0.2">
      <c r="A12" s="9" t="s">
        <v>100</v>
      </c>
      <c r="B12" s="15">
        <v>265908</v>
      </c>
      <c r="C12" s="15">
        <v>0</v>
      </c>
      <c r="D12" s="15">
        <v>265908</v>
      </c>
      <c r="E12" s="15">
        <v>265908</v>
      </c>
      <c r="F12" s="15">
        <v>240109</v>
      </c>
      <c r="G12" s="16">
        <f>IF(AND(F65&lt;&gt;0,240109&lt;&gt;0),IF(100*240109/(F65-0)&lt;0.005,"*",100*240109/(F65-0)),0)</f>
        <v>1.610401097580344</v>
      </c>
    </row>
    <row r="13" spans="1:7" x14ac:dyDescent="0.2">
      <c r="A13" s="9" t="s">
        <v>101</v>
      </c>
      <c r="B13" s="15">
        <v>32184</v>
      </c>
      <c r="C13" s="15">
        <v>0</v>
      </c>
      <c r="D13" s="15">
        <v>32184</v>
      </c>
      <c r="E13" s="15">
        <v>32184</v>
      </c>
      <c r="F13" s="15">
        <v>29062</v>
      </c>
      <c r="G13" s="16">
        <f>IF(AND(F65&lt;&gt;0,29062&lt;&gt;0),IF(100*29062/(F65-0)&lt;0.005,"*",100*29062/(F65-0)),0)</f>
        <v>0.19491762781853225</v>
      </c>
    </row>
    <row r="14" spans="1:7" x14ac:dyDescent="0.2">
      <c r="A14" s="9" t="s">
        <v>102</v>
      </c>
      <c r="B14" s="15">
        <v>92304</v>
      </c>
      <c r="C14" s="15">
        <v>0</v>
      </c>
      <c r="D14" s="15">
        <v>92304</v>
      </c>
      <c r="E14" s="15">
        <v>92304</v>
      </c>
      <c r="F14" s="15">
        <v>83349</v>
      </c>
      <c r="G14" s="16">
        <f>IF(AND(F65&lt;&gt;0,83349&lt;&gt;0),IF(100*83349/(F65-0)&lt;0.005,"*",100*83349/(F65-0)),0)</f>
        <v>0.55901828370541751</v>
      </c>
    </row>
    <row r="15" spans="1:7" x14ac:dyDescent="0.2">
      <c r="A15" s="9" t="s">
        <v>103</v>
      </c>
      <c r="B15" s="15">
        <v>560484</v>
      </c>
      <c r="C15" s="15">
        <v>0</v>
      </c>
      <c r="D15" s="15">
        <v>560484</v>
      </c>
      <c r="E15" s="15">
        <v>560484</v>
      </c>
      <c r="F15" s="15">
        <v>506106</v>
      </c>
      <c r="G15" s="16">
        <f>IF(AND(F65&lt;&gt;0,506106&lt;&gt;0),IF(100*506106/(F65-0)&lt;0.005,"*",100*506106/(F65-0)),0)</f>
        <v>3.3944319367120666</v>
      </c>
    </row>
    <row r="16" spans="1:7" x14ac:dyDescent="0.2">
      <c r="A16" s="9" t="s">
        <v>104</v>
      </c>
      <c r="B16" s="15">
        <v>329650</v>
      </c>
      <c r="C16" s="15">
        <v>0</v>
      </c>
      <c r="D16" s="15">
        <v>329650</v>
      </c>
      <c r="E16" s="15">
        <v>329650</v>
      </c>
      <c r="F16" s="15">
        <v>297668</v>
      </c>
      <c r="G16" s="16">
        <f>IF(AND(F65&lt;&gt;0,297668&lt;&gt;0),IF(100*297668/(F65-0)&lt;0.005,"*",100*297668/(F65-0)),0)</f>
        <v>1.9964469216670173</v>
      </c>
    </row>
    <row r="17" spans="1:7" x14ac:dyDescent="0.2">
      <c r="A17" s="9" t="s">
        <v>105</v>
      </c>
      <c r="B17" s="15">
        <v>98578</v>
      </c>
      <c r="C17" s="15">
        <v>0</v>
      </c>
      <c r="D17" s="15">
        <v>98578</v>
      </c>
      <c r="E17" s="15">
        <v>98578</v>
      </c>
      <c r="F17" s="15">
        <v>89014</v>
      </c>
      <c r="G17" s="16">
        <f>IF(AND(F65&lt;&gt;0,89014&lt;&gt;0),IF(100*89014/(F65-0)&lt;0.005,"*",100*89014/(F65-0)),0)</f>
        <v>0.59701320358677412</v>
      </c>
    </row>
    <row r="18" spans="1:7" x14ac:dyDescent="0.2">
      <c r="A18" s="9" t="s">
        <v>106</v>
      </c>
      <c r="B18" s="15">
        <v>30307</v>
      </c>
      <c r="C18" s="15">
        <v>0</v>
      </c>
      <c r="D18" s="15">
        <v>30307</v>
      </c>
      <c r="E18" s="15">
        <v>30307</v>
      </c>
      <c r="F18" s="15">
        <v>27367</v>
      </c>
      <c r="G18" s="16">
        <f>IF(AND(F65&lt;&gt;0,27367&lt;&gt;0),IF(100*27367/(F65-0)&lt;0.005,"*",100*27367/(F65-0)),0)</f>
        <v>0.18354933316735847</v>
      </c>
    </row>
    <row r="19" spans="1:7" x14ac:dyDescent="0.2">
      <c r="A19" s="9" t="s">
        <v>107</v>
      </c>
      <c r="B19" s="15">
        <v>583126</v>
      </c>
      <c r="C19" s="15">
        <v>0</v>
      </c>
      <c r="D19" s="15">
        <v>583126</v>
      </c>
      <c r="E19" s="15">
        <v>583126</v>
      </c>
      <c r="F19" s="15">
        <v>526551</v>
      </c>
      <c r="G19" s="16">
        <f>IF(AND(F65&lt;&gt;0,526551&lt;&gt;0),IF(100*526551/(F65-0)&lt;0.005,"*",100*526551/(F65-0)),0)</f>
        <v>3.5315557031682601</v>
      </c>
    </row>
    <row r="20" spans="1:7" x14ac:dyDescent="0.2">
      <c r="A20" s="9" t="s">
        <v>108</v>
      </c>
      <c r="B20" s="15">
        <v>206117</v>
      </c>
      <c r="C20" s="15">
        <v>0</v>
      </c>
      <c r="D20" s="15">
        <v>206117</v>
      </c>
      <c r="E20" s="15">
        <v>206117</v>
      </c>
      <c r="F20" s="15">
        <v>186119</v>
      </c>
      <c r="G20" s="16">
        <f>IF(AND(F65&lt;&gt;0,186119&lt;&gt;0),IF(100*186119/(F65-0)&lt;0.005,"*",100*186119/(F65-0)),0)</f>
        <v>1.2482924083668503</v>
      </c>
    </row>
    <row r="21" spans="1:7" x14ac:dyDescent="0.2">
      <c r="A21" s="9" t="s">
        <v>109</v>
      </c>
      <c r="B21" s="15">
        <v>130558</v>
      </c>
      <c r="C21" s="15">
        <v>0</v>
      </c>
      <c r="D21" s="15">
        <v>130558</v>
      </c>
      <c r="E21" s="15">
        <v>130558</v>
      </c>
      <c r="F21" s="15">
        <v>117891</v>
      </c>
      <c r="G21" s="16">
        <f>IF(AND(F65&lt;&gt;0,117891&lt;&gt;0),IF(100*117891/(F65-0)&lt;0.005,"*",100*117891/(F65-0)),0)</f>
        <v>0.79069004408349686</v>
      </c>
    </row>
    <row r="22" spans="1:7" x14ac:dyDescent="0.2">
      <c r="A22" s="9" t="s">
        <v>110</v>
      </c>
      <c r="B22" s="15">
        <v>101360</v>
      </c>
      <c r="C22" s="15">
        <v>0</v>
      </c>
      <c r="D22" s="15">
        <v>101478</v>
      </c>
      <c r="E22" s="15">
        <v>101478</v>
      </c>
      <c r="F22" s="15">
        <v>91632</v>
      </c>
      <c r="G22" s="16">
        <f>IF(AND(F65&lt;&gt;0,91632&lt;&gt;0),IF(100*91632/(F65-0)&lt;0.005,"*",100*91632/(F65-0)),0)</f>
        <v>0.61457202093000296</v>
      </c>
    </row>
    <row r="23" spans="1:7" x14ac:dyDescent="0.2">
      <c r="A23" s="9" t="s">
        <v>111</v>
      </c>
      <c r="B23" s="15">
        <v>180689</v>
      </c>
      <c r="C23" s="15">
        <v>0</v>
      </c>
      <c r="D23" s="15">
        <v>180689</v>
      </c>
      <c r="E23" s="15">
        <v>180689</v>
      </c>
      <c r="F23" s="15">
        <v>163159</v>
      </c>
      <c r="G23" s="16">
        <f>IF(AND(F65&lt;&gt;0,163159&lt;&gt;0),IF(100*163159/(F65-0)&lt;0.005,"*",100*163159/(F65-0)),0)</f>
        <v>1.0943006412925436</v>
      </c>
    </row>
    <row r="24" spans="1:7" x14ac:dyDescent="0.2">
      <c r="A24" s="9" t="s">
        <v>112</v>
      </c>
      <c r="B24" s="15">
        <v>163431</v>
      </c>
      <c r="C24" s="15">
        <v>0</v>
      </c>
      <c r="D24" s="15">
        <v>163432</v>
      </c>
      <c r="E24" s="15">
        <v>163432</v>
      </c>
      <c r="F24" s="15">
        <v>147575</v>
      </c>
      <c r="G24" s="16">
        <f>IF(AND(F65&lt;&gt;0,147575&lt;&gt;0),IF(100*147575/(F65-0)&lt;0.005,"*",100*147575/(F65-0)),0)</f>
        <v>0.98977940008670751</v>
      </c>
    </row>
    <row r="25" spans="1:7" x14ac:dyDescent="0.2">
      <c r="A25" s="9" t="s">
        <v>113</v>
      </c>
      <c r="B25" s="15">
        <v>77863</v>
      </c>
      <c r="C25" s="15">
        <v>0</v>
      </c>
      <c r="D25" s="15">
        <v>77863</v>
      </c>
      <c r="E25" s="15">
        <v>77863</v>
      </c>
      <c r="F25" s="15">
        <v>70309</v>
      </c>
      <c r="G25" s="16">
        <f>IF(AND(F65&lt;&gt;0,70309&lt;&gt;0),IF(100*70309/(F65-0)&lt;0.005,"*",100*70309/(F65-0)),0)</f>
        <v>0.47155954491408653</v>
      </c>
    </row>
    <row r="26" spans="1:7" x14ac:dyDescent="0.2">
      <c r="A26" s="9" t="s">
        <v>114</v>
      </c>
      <c r="B26" s="15">
        <v>228342</v>
      </c>
      <c r="C26" s="15">
        <v>0</v>
      </c>
      <c r="D26" s="15">
        <v>228342</v>
      </c>
      <c r="E26" s="15">
        <v>228342</v>
      </c>
      <c r="F26" s="15">
        <v>206188</v>
      </c>
      <c r="G26" s="16">
        <f>IF(AND(F65&lt;&gt;0,206188&lt;&gt;0),IF(100*206188/(F65-0)&lt;0.005,"*",100*206188/(F65-0)),0)</f>
        <v>1.382894358428447</v>
      </c>
    </row>
    <row r="27" spans="1:7" x14ac:dyDescent="0.2">
      <c r="A27" s="9" t="s">
        <v>115</v>
      </c>
      <c r="B27" s="15">
        <v>457855</v>
      </c>
      <c r="C27" s="15">
        <v>0</v>
      </c>
      <c r="D27" s="15">
        <v>457855</v>
      </c>
      <c r="E27" s="15">
        <v>457855</v>
      </c>
      <c r="F27" s="15">
        <v>413434</v>
      </c>
      <c r="G27" s="16">
        <f>IF(AND(F65&lt;&gt;0,413434&lt;&gt;0),IF(100*413434/(F65-0)&lt;0.005,"*",100*413434/(F65-0)),0)</f>
        <v>2.7728846789459451</v>
      </c>
    </row>
    <row r="28" spans="1:7" x14ac:dyDescent="0.2">
      <c r="A28" s="9" t="s">
        <v>116</v>
      </c>
      <c r="B28" s="15">
        <v>772794</v>
      </c>
      <c r="C28" s="15">
        <v>0</v>
      </c>
      <c r="D28" s="15">
        <v>772794</v>
      </c>
      <c r="E28" s="15">
        <v>772794</v>
      </c>
      <c r="F28" s="15">
        <v>697818</v>
      </c>
      <c r="G28" s="16">
        <f>IF(AND(F65&lt;&gt;0,697818&lt;&gt;0),IF(100*697818/(F65-0)&lt;0.005,"*",100*697818/(F65-0)),0)</f>
        <v>4.6802363639485423</v>
      </c>
    </row>
    <row r="29" spans="1:7" x14ac:dyDescent="0.2">
      <c r="A29" s="9" t="s">
        <v>117</v>
      </c>
      <c r="B29" s="15">
        <v>259826</v>
      </c>
      <c r="C29" s="15">
        <v>0</v>
      </c>
      <c r="D29" s="15">
        <v>259569</v>
      </c>
      <c r="E29" s="15">
        <v>259569</v>
      </c>
      <c r="F29" s="15">
        <v>234386</v>
      </c>
      <c r="G29" s="16">
        <f>IF(AND(F65&lt;&gt;0,234386&lt;&gt;0),IF(100*234386/(F65-0)&lt;0.005,"*",100*234386/(F65-0)),0)</f>
        <v>1.5720171741062039</v>
      </c>
    </row>
    <row r="30" spans="1:7" x14ac:dyDescent="0.2">
      <c r="A30" s="9" t="s">
        <v>118</v>
      </c>
      <c r="B30" s="15">
        <v>86481</v>
      </c>
      <c r="C30" s="15">
        <v>0</v>
      </c>
      <c r="D30" s="15">
        <v>86481</v>
      </c>
      <c r="E30" s="15">
        <v>86481</v>
      </c>
      <c r="F30" s="15">
        <v>78091</v>
      </c>
      <c r="G30" s="16">
        <f>IF(AND(F65&lt;&gt;0,78091&lt;&gt;0),IF(100*78091/(F65-0)&lt;0.005,"*",100*78091/(F65-0)),0)</f>
        <v>0.52375309593204189</v>
      </c>
    </row>
    <row r="31" spans="1:7" x14ac:dyDescent="0.2">
      <c r="A31" s="9" t="s">
        <v>119</v>
      </c>
      <c r="B31" s="15">
        <v>216335</v>
      </c>
      <c r="C31" s="15">
        <v>0</v>
      </c>
      <c r="D31" s="15">
        <v>216335</v>
      </c>
      <c r="E31" s="15">
        <v>216335</v>
      </c>
      <c r="F31" s="15">
        <v>195347</v>
      </c>
      <c r="G31" s="16">
        <f>IF(AND(F65&lt;&gt;0,195347&lt;&gt;0),IF(100*195347/(F65-0)&lt;0.005,"*",100*195347/(F65-0)),0)</f>
        <v>1.3101842213704087</v>
      </c>
    </row>
    <row r="32" spans="1:7" x14ac:dyDescent="0.2">
      <c r="A32" s="9" t="s">
        <v>120</v>
      </c>
      <c r="B32" s="15">
        <v>37889</v>
      </c>
      <c r="C32" s="15">
        <v>0</v>
      </c>
      <c r="D32" s="15">
        <v>37889</v>
      </c>
      <c r="E32" s="15">
        <v>37889</v>
      </c>
      <c r="F32" s="15">
        <v>34213</v>
      </c>
      <c r="G32" s="16">
        <f>IF(AND(F65&lt;&gt;0,34213&lt;&gt;0),IF(100*34213/(F65-0)&lt;0.005,"*",100*34213/(F65-0)),0)</f>
        <v>0.22946517103280722</v>
      </c>
    </row>
    <row r="33" spans="1:7" x14ac:dyDescent="0.2">
      <c r="A33" s="9" t="s">
        <v>121</v>
      </c>
      <c r="B33" s="15">
        <v>56627</v>
      </c>
      <c r="C33" s="15">
        <v>0</v>
      </c>
      <c r="D33" s="15">
        <v>56627</v>
      </c>
      <c r="E33" s="15">
        <v>56627</v>
      </c>
      <c r="F33" s="15">
        <v>51133</v>
      </c>
      <c r="G33" s="16">
        <f>IF(AND(F65&lt;&gt;0,51133&lt;&gt;0),IF(100*51133/(F65-0)&lt;0.005,"*",100*51133/(F65-0)),0)</f>
        <v>0.34294690878965689</v>
      </c>
    </row>
    <row r="34" spans="1:7" x14ac:dyDescent="0.2">
      <c r="A34" s="9" t="s">
        <v>122</v>
      </c>
      <c r="B34" s="15">
        <v>43762</v>
      </c>
      <c r="C34" s="15">
        <v>0</v>
      </c>
      <c r="D34" s="15">
        <v>43762</v>
      </c>
      <c r="E34" s="15">
        <v>43762</v>
      </c>
      <c r="F34" s="15">
        <v>39517</v>
      </c>
      <c r="G34" s="16">
        <f>IF(AND(F65&lt;&gt;0,39517&lt;&gt;0),IF(100*39517/(F65-0)&lt;0.005,"*",100*39517/(F65-0)),0)</f>
        <v>0.26503887889701117</v>
      </c>
    </row>
    <row r="35" spans="1:7" x14ac:dyDescent="0.2">
      <c r="A35" s="9" t="s">
        <v>123</v>
      </c>
      <c r="B35" s="15">
        <v>38394</v>
      </c>
      <c r="C35" s="15">
        <v>0</v>
      </c>
      <c r="D35" s="15">
        <v>38394</v>
      </c>
      <c r="E35" s="15">
        <v>38394</v>
      </c>
      <c r="F35" s="15">
        <v>34669</v>
      </c>
      <c r="G35" s="16">
        <f>IF(AND(F65&lt;&gt;0,34669&lt;&gt;0),IF(100*34669/(F65-0)&lt;0.005,"*",100*34669/(F65-0)),0)</f>
        <v>0.2325235441071053</v>
      </c>
    </row>
    <row r="36" spans="1:7" x14ac:dyDescent="0.2">
      <c r="A36" s="9" t="s">
        <v>124</v>
      </c>
      <c r="B36" s="15">
        <v>402702</v>
      </c>
      <c r="C36" s="15">
        <v>0</v>
      </c>
      <c r="D36" s="15">
        <v>402702</v>
      </c>
      <c r="E36" s="15">
        <v>402702</v>
      </c>
      <c r="F36" s="15">
        <v>363631</v>
      </c>
      <c r="G36" s="16">
        <f>IF(AND(F65&lt;&gt;0,363631&lt;&gt;0),IF(100*363631/(F65-0)&lt;0.005,"*",100*363631/(F65-0)),0)</f>
        <v>2.4388580249563243</v>
      </c>
    </row>
    <row r="37" spans="1:7" x14ac:dyDescent="0.2">
      <c r="A37" s="9" t="s">
        <v>125</v>
      </c>
      <c r="B37" s="15">
        <v>109920</v>
      </c>
      <c r="C37" s="15">
        <v>0</v>
      </c>
      <c r="D37" s="15">
        <v>109921</v>
      </c>
      <c r="E37" s="15">
        <v>109921</v>
      </c>
      <c r="F37" s="15">
        <v>99255</v>
      </c>
      <c r="G37" s="16">
        <f>IF(AND(F65&lt;&gt;0,99255&lt;&gt;0),IF(100*99255/(F65-0)&lt;0.005,"*",100*99255/(F65-0)),0)</f>
        <v>0.66569916554705177</v>
      </c>
    </row>
    <row r="38" spans="1:7" x14ac:dyDescent="0.2">
      <c r="A38" s="9" t="s">
        <v>126</v>
      </c>
      <c r="B38" s="15">
        <v>2434869</v>
      </c>
      <c r="C38" s="15">
        <v>0</v>
      </c>
      <c r="D38" s="15">
        <v>2434870</v>
      </c>
      <c r="E38" s="15">
        <v>2434870</v>
      </c>
      <c r="F38" s="15">
        <v>2198638</v>
      </c>
      <c r="G38" s="16">
        <f>IF(AND(F65&lt;&gt;0,2198638&lt;&gt;0),IF(100*2198638/(F65-0)&lt;0.005,"*",100*2198638/(F65-0)),0)</f>
        <v>14.74617381431705</v>
      </c>
    </row>
    <row r="39" spans="1:7" x14ac:dyDescent="0.2">
      <c r="A39" s="9" t="s">
        <v>127</v>
      </c>
      <c r="B39" s="15">
        <v>300438</v>
      </c>
      <c r="C39" s="15">
        <v>0</v>
      </c>
      <c r="D39" s="15">
        <v>300438</v>
      </c>
      <c r="E39" s="15">
        <v>300438</v>
      </c>
      <c r="F39" s="15">
        <v>271289</v>
      </c>
      <c r="G39" s="16">
        <f>IF(AND(F65&lt;&gt;0,271289&lt;&gt;0),IF(100*271289/(F65-0)&lt;0.005,"*",100*271289/(F65-0)),0)</f>
        <v>1.8195240634939713</v>
      </c>
    </row>
    <row r="40" spans="1:7" x14ac:dyDescent="0.2">
      <c r="A40" s="9" t="s">
        <v>128</v>
      </c>
      <c r="B40" s="15">
        <v>26313</v>
      </c>
      <c r="C40" s="15">
        <v>0</v>
      </c>
      <c r="D40" s="15">
        <v>26313</v>
      </c>
      <c r="E40" s="15">
        <v>26313</v>
      </c>
      <c r="F40" s="15">
        <v>23760</v>
      </c>
      <c r="G40" s="16">
        <f>IF(AND(F65&lt;&gt;0,23760&lt;&gt;0),IF(100*23760/(F65-0)&lt;0.005,"*",100*23760/(F65-0)),0)</f>
        <v>0.15935733387132084</v>
      </c>
    </row>
    <row r="41" spans="1:7" x14ac:dyDescent="0.2">
      <c r="A41" s="9" t="s">
        <v>129</v>
      </c>
      <c r="B41" s="15">
        <v>725567</v>
      </c>
      <c r="C41" s="15">
        <v>0</v>
      </c>
      <c r="D41" s="15">
        <v>725566</v>
      </c>
      <c r="E41" s="15">
        <v>725566</v>
      </c>
      <c r="F41" s="15">
        <v>655171</v>
      </c>
      <c r="G41" s="16">
        <f>IF(AND(F65&lt;&gt;0,655171&lt;&gt;0),IF(100*655171/(F65-0)&lt;0.005,"*",100*655171/(F65-0)),0)</f>
        <v>4.3942047049582129</v>
      </c>
    </row>
    <row r="42" spans="1:7" x14ac:dyDescent="0.2">
      <c r="A42" s="9" t="s">
        <v>130</v>
      </c>
      <c r="B42" s="15">
        <v>144794</v>
      </c>
      <c r="C42" s="15">
        <v>0</v>
      </c>
      <c r="D42" s="15">
        <v>144793</v>
      </c>
      <c r="E42" s="15">
        <v>144793</v>
      </c>
      <c r="F42" s="15">
        <v>130745</v>
      </c>
      <c r="G42" s="16">
        <f>IF(AND(F65&lt;&gt;0,130745&lt;&gt;0),IF(100*130745/(F65-0)&lt;0.005,"*",100*130745/(F65-0)),0)</f>
        <v>0.87690128859452199</v>
      </c>
    </row>
    <row r="43" spans="1:7" x14ac:dyDescent="0.2">
      <c r="A43" s="9" t="s">
        <v>131</v>
      </c>
      <c r="B43" s="15">
        <v>166041</v>
      </c>
      <c r="C43" s="15">
        <v>0</v>
      </c>
      <c r="D43" s="15">
        <v>165835</v>
      </c>
      <c r="E43" s="15">
        <v>165835</v>
      </c>
      <c r="F43" s="15">
        <v>149746</v>
      </c>
      <c r="G43" s="16">
        <f>IF(AND(F65&lt;&gt;0,149746&lt;&gt;0),IF(100*149746/(F65-0)&lt;0.005,"*",100*149746/(F65-0)),0)</f>
        <v>1.0043402069821048</v>
      </c>
    </row>
    <row r="44" spans="1:7" x14ac:dyDescent="0.2">
      <c r="A44" s="9" t="s">
        <v>132</v>
      </c>
      <c r="B44" s="15">
        <v>717126</v>
      </c>
      <c r="C44" s="15">
        <v>0</v>
      </c>
      <c r="D44" s="15">
        <v>717125</v>
      </c>
      <c r="E44" s="15">
        <v>717125</v>
      </c>
      <c r="F44" s="15">
        <v>647549</v>
      </c>
      <c r="G44" s="16">
        <f>IF(AND(F65&lt;&gt;0,647549&lt;&gt;0),IF(100*647549/(F65-0)&lt;0.005,"*",100*647549/(F65-0)),0)</f>
        <v>4.3430842672996608</v>
      </c>
    </row>
    <row r="45" spans="1:7" x14ac:dyDescent="0.2">
      <c r="A45" s="9" t="s">
        <v>133</v>
      </c>
      <c r="B45" s="15">
        <v>94708</v>
      </c>
      <c r="C45" s="15">
        <v>0</v>
      </c>
      <c r="D45" s="15">
        <v>94708</v>
      </c>
      <c r="E45" s="15">
        <v>94708</v>
      </c>
      <c r="F45" s="15">
        <v>85519</v>
      </c>
      <c r="G45" s="16">
        <f>IF(AND(F65&lt;&gt;0,85519&lt;&gt;0),IF(100*85519/(F65-0)&lt;0.005,"*",100*85519/(F65-0)),0)</f>
        <v>0.57357238364231844</v>
      </c>
    </row>
    <row r="46" spans="1:7" x14ac:dyDescent="0.2">
      <c r="A46" s="9" t="s">
        <v>134</v>
      </c>
      <c r="B46" s="15">
        <v>99638</v>
      </c>
      <c r="C46" s="15">
        <v>0</v>
      </c>
      <c r="D46" s="15">
        <v>99638</v>
      </c>
      <c r="E46" s="15">
        <v>99638</v>
      </c>
      <c r="F46" s="15">
        <v>89971</v>
      </c>
      <c r="G46" s="16">
        <f>IF(AND(F65&lt;&gt;0,89971&lt;&gt;0),IF(100*89971/(F65-0)&lt;0.005,"*",100*89971/(F65-0)),0)</f>
        <v>0.60343176286770228</v>
      </c>
    </row>
    <row r="47" spans="1:7" x14ac:dyDescent="0.2">
      <c r="A47" s="9" t="s">
        <v>135</v>
      </c>
      <c r="B47" s="15">
        <v>21207</v>
      </c>
      <c r="C47" s="15">
        <v>0</v>
      </c>
      <c r="D47" s="15">
        <v>21207</v>
      </c>
      <c r="E47" s="15">
        <v>21207</v>
      </c>
      <c r="F47" s="15">
        <v>19150</v>
      </c>
      <c r="G47" s="16">
        <f>IF(AND(F65&lt;&gt;0,19150&lt;&gt;0),IF(100*19150/(F65-0)&lt;0.005,"*",100*19150/(F65-0)),0)</f>
        <v>0.12843825520352667</v>
      </c>
    </row>
    <row r="48" spans="1:7" x14ac:dyDescent="0.2">
      <c r="A48" s="9" t="s">
        <v>136</v>
      </c>
      <c r="B48" s="15">
        <v>190892</v>
      </c>
      <c r="C48" s="15">
        <v>0</v>
      </c>
      <c r="D48" s="15">
        <v>190892</v>
      </c>
      <c r="E48" s="15">
        <v>190892</v>
      </c>
      <c r="F48" s="15">
        <v>172371</v>
      </c>
      <c r="G48" s="16">
        <f>IF(AND(F65&lt;&gt;0,172371&lt;&gt;0),IF(100*172371/(F65-0)&lt;0.005,"*",100*172371/(F65-0)),0)</f>
        <v>1.1560851429601617</v>
      </c>
    </row>
    <row r="49" spans="1:7" x14ac:dyDescent="0.2">
      <c r="A49" s="9" t="s">
        <v>137</v>
      </c>
      <c r="B49" s="15">
        <v>484652</v>
      </c>
      <c r="C49" s="15">
        <v>0</v>
      </c>
      <c r="D49" s="15">
        <v>484652</v>
      </c>
      <c r="E49" s="15">
        <v>484652</v>
      </c>
      <c r="F49" s="15">
        <v>437631</v>
      </c>
      <c r="G49" s="16">
        <f>IF(AND(F65&lt;&gt;0,437631&lt;&gt;0),IF(100*437631/(F65-0)&lt;0.005,"*",100*437631/(F65-0)),0)</f>
        <v>2.935172953680135</v>
      </c>
    </row>
    <row r="50" spans="1:7" x14ac:dyDescent="0.2">
      <c r="A50" s="9" t="s">
        <v>138</v>
      </c>
      <c r="B50" s="15">
        <v>75356</v>
      </c>
      <c r="C50" s="15">
        <v>0</v>
      </c>
      <c r="D50" s="15">
        <v>75356</v>
      </c>
      <c r="E50" s="15">
        <v>75356</v>
      </c>
      <c r="F50" s="15">
        <v>68045</v>
      </c>
      <c r="G50" s="16">
        <f>IF(AND(F65&lt;&gt;0,68045&lt;&gt;0),IF(100*68045/(F65-0)&lt;0.005,"*",100*68045/(F65-0)),0)</f>
        <v>0.45637499087853645</v>
      </c>
    </row>
    <row r="51" spans="1:7" x14ac:dyDescent="0.2">
      <c r="A51" s="9" t="s">
        <v>139</v>
      </c>
      <c r="B51" s="15">
        <v>47197</v>
      </c>
      <c r="C51" s="15">
        <v>0</v>
      </c>
      <c r="D51" s="15">
        <v>47197</v>
      </c>
      <c r="E51" s="15">
        <v>47197</v>
      </c>
      <c r="F51" s="15">
        <v>42618</v>
      </c>
      <c r="G51" s="16">
        <f>IF(AND(F65&lt;&gt;0,42618&lt;&gt;0),IF(100*42618/(F65-0)&lt;0.005,"*",100*42618/(F65-0)),0)</f>
        <v>0.28583715719393732</v>
      </c>
    </row>
    <row r="52" spans="1:7" x14ac:dyDescent="0.2">
      <c r="A52" s="9" t="s">
        <v>140</v>
      </c>
      <c r="B52" s="15">
        <v>157763</v>
      </c>
      <c r="C52" s="15">
        <v>0</v>
      </c>
      <c r="D52" s="15">
        <v>157763</v>
      </c>
      <c r="E52" s="15">
        <v>157763</v>
      </c>
      <c r="F52" s="15">
        <v>142457</v>
      </c>
      <c r="G52" s="16">
        <f>IF(AND(F65&lt;&gt;0,142457&lt;&gt;0),IF(100*142457/(F65-0)&lt;0.005,"*",100*142457/(F65-0)),0)</f>
        <v>0.95545318650280942</v>
      </c>
    </row>
    <row r="53" spans="1:7" x14ac:dyDescent="0.2">
      <c r="A53" s="9" t="s">
        <v>141</v>
      </c>
      <c r="B53" s="15">
        <v>379058</v>
      </c>
      <c r="C53" s="15">
        <v>0</v>
      </c>
      <c r="D53" s="15">
        <v>379058</v>
      </c>
      <c r="E53" s="15">
        <v>379058</v>
      </c>
      <c r="F53" s="15">
        <v>342282</v>
      </c>
      <c r="G53" s="16">
        <f>IF(AND(F65&lt;&gt;0,342282&lt;&gt;0),IF(100*342282/(F65-0)&lt;0.005,"*",100*342282/(F65-0)),0)</f>
        <v>2.295671168019505</v>
      </c>
    </row>
    <row r="54" spans="1:7" x14ac:dyDescent="0.2">
      <c r="A54" s="9" t="s">
        <v>142</v>
      </c>
      <c r="B54" s="15">
        <v>109813</v>
      </c>
      <c r="C54" s="15">
        <v>0</v>
      </c>
      <c r="D54" s="15">
        <v>109813</v>
      </c>
      <c r="E54" s="15">
        <v>109813</v>
      </c>
      <c r="F54" s="15">
        <v>99159</v>
      </c>
      <c r="G54" s="16">
        <f>IF(AND(F65&lt;&gt;0,99159&lt;&gt;0),IF(100*99159/(F65-0)&lt;0.005,"*",100*99159/(F65-0)),0)</f>
        <v>0.66505529753141002</v>
      </c>
    </row>
    <row r="55" spans="1:7" x14ac:dyDescent="0.2">
      <c r="A55" s="9" t="s">
        <v>143</v>
      </c>
      <c r="B55" s="15">
        <v>312846</v>
      </c>
      <c r="C55" s="15">
        <v>0</v>
      </c>
      <c r="D55" s="15">
        <v>312846</v>
      </c>
      <c r="E55" s="15">
        <v>312846</v>
      </c>
      <c r="F55" s="15">
        <v>282494</v>
      </c>
      <c r="G55" s="16">
        <f>IF(AND(F65&lt;&gt;0,282494&lt;&gt;0),IF(100*282494/(F65-0)&lt;0.005,"*",100*282494/(F65-0)),0)</f>
        <v>1.894675533444651</v>
      </c>
    </row>
    <row r="56" spans="1:7" x14ac:dyDescent="0.2">
      <c r="A56" s="9" t="s">
        <v>144</v>
      </c>
      <c r="B56" s="15">
        <v>18429</v>
      </c>
      <c r="C56" s="15">
        <v>0</v>
      </c>
      <c r="D56" s="15">
        <v>18429</v>
      </c>
      <c r="E56" s="15">
        <v>18429</v>
      </c>
      <c r="F56" s="15">
        <v>16641</v>
      </c>
      <c r="G56" s="16">
        <f>IF(AND(F65&lt;&gt;0,16641&lt;&gt;0),IF(100*16641/(F65-0)&lt;0.005,"*",100*16641/(F65-0)),0)</f>
        <v>0.11161049633639099</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3454</v>
      </c>
      <c r="C58" s="15">
        <v>0</v>
      </c>
      <c r="D58" s="15">
        <v>3454</v>
      </c>
      <c r="E58" s="15">
        <v>3454</v>
      </c>
      <c r="F58" s="15">
        <v>3119</v>
      </c>
      <c r="G58" s="16">
        <f>IF(AND(F65&lt;&gt;0,3119&lt;&gt;0),IF(100*3119/(F65-0)&lt;0.005,"*",100*3119/(F65-0)),0)</f>
        <v>2.0919003549858994E-2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71326</v>
      </c>
      <c r="C60" s="15">
        <v>0</v>
      </c>
      <c r="D60" s="15">
        <v>71326</v>
      </c>
      <c r="E60" s="15">
        <v>71326</v>
      </c>
      <c r="F60" s="15">
        <v>64406</v>
      </c>
      <c r="G60" s="16">
        <f>IF(AND(F65&lt;&gt;0,64406&lt;&gt;0),IF(100*64406/(F65-0)&lt;0.005,"*",100*64406/(F65-0)),0)</f>
        <v>0.43196836891061824</v>
      </c>
    </row>
    <row r="61" spans="1:7" x14ac:dyDescent="0.2">
      <c r="A61" s="9" t="s">
        <v>178</v>
      </c>
      <c r="B61" s="15">
        <v>0</v>
      </c>
      <c r="C61" s="15">
        <v>0</v>
      </c>
      <c r="D61" s="15">
        <v>0</v>
      </c>
      <c r="E61" s="15">
        <v>0</v>
      </c>
      <c r="F61" s="15">
        <v>0</v>
      </c>
      <c r="G61" s="16">
        <f>IF(AND(F65&lt;&gt;0,0&lt;&gt;0),IF(100*0/(F65-0)&lt;0.005,"*",100*0/(F65-0)),0)</f>
        <v>0</v>
      </c>
    </row>
    <row r="62" spans="1:7" x14ac:dyDescent="0.2">
      <c r="A62" s="9" t="s">
        <v>150</v>
      </c>
      <c r="B62" s="15">
        <v>2837</v>
      </c>
      <c r="C62" s="15">
        <v>0</v>
      </c>
      <c r="D62" s="15">
        <v>2837</v>
      </c>
      <c r="E62" s="15">
        <v>2837</v>
      </c>
      <c r="F62" s="15">
        <v>2562</v>
      </c>
      <c r="G62" s="16">
        <f>IF(AND(F65&lt;&gt;0,2562&lt;&gt;0),IF(100*2562/(F65-0)&lt;0.005,"*",100*2562/(F65-0)),0)</f>
        <v>1.7183227667437878E-2</v>
      </c>
    </row>
    <row r="63" spans="1:7" x14ac:dyDescent="0.2">
      <c r="A63" s="9" t="s">
        <v>151</v>
      </c>
      <c r="B63" s="15">
        <v>197477</v>
      </c>
      <c r="C63" s="15">
        <v>0</v>
      </c>
      <c r="D63" s="15">
        <v>198734</v>
      </c>
      <c r="E63" s="15">
        <v>198734</v>
      </c>
      <c r="F63" s="15">
        <v>179453</v>
      </c>
      <c r="G63" s="16">
        <f>IF(AND(F65&lt;&gt;0,179453&lt;&gt;0),IF(100*179453/(F65-0)&lt;0.005,"*",100*179453/(F65-0)),0)</f>
        <v>1.2035838230307296</v>
      </c>
    </row>
    <row r="64" spans="1:7" x14ac:dyDescent="0.2">
      <c r="A64" s="9" t="s">
        <v>152</v>
      </c>
      <c r="B64" s="15">
        <v>0</v>
      </c>
      <c r="C64" s="15">
        <v>0</v>
      </c>
      <c r="D64" s="15">
        <v>0</v>
      </c>
      <c r="E64" s="15">
        <v>0</v>
      </c>
      <c r="F64" s="15">
        <v>0</v>
      </c>
      <c r="G64" s="16">
        <v>0</v>
      </c>
    </row>
    <row r="65" spans="1:7" ht="15" customHeight="1" x14ac:dyDescent="0.2">
      <c r="A65" s="17" t="s">
        <v>93</v>
      </c>
      <c r="B65" s="18">
        <f>93007+44397+199407+56546+3637503+135608+265908+32184+92304+560484+329650+98578+30307+583126+206117+130558+101360+180689+163431+77863+228342+457855+772794+259826+86481+216335+37889+56627+43762+38394+402702+109920+2434869+300438+26313+725567+144794+166041+717126+94708+99638+21207+190892+484652+75356+47197+157763+379058+109813+312846+18429+0+3454+0+71326+0+2837+197477+0+0</f>
        <v>16511755</v>
      </c>
      <c r="C65" s="18">
        <f>0+0+0+0+0+0+0+0+0+0+0+0+0+0+0+0+0+0+0+0+0+0+0+0+0+0+0+0+0+0+0+0+0+0+0+0+0+0+0+0+0+0+0+0+0+0+0+0+0+0+0+0+0+0+0+0+0+0+0+0</f>
        <v>0</v>
      </c>
      <c r="D65" s="18">
        <f>93007+44397+199407+56546+3636708+135608+265908+32184+92304+560484+329650+98578+30307+583126+206117+130558+101478+180689+163432+77863+228342+457855+772794+259569+86481+216335+37889+56627+43762+38394+402702+109921+2434870+300438+26313+725566+144793+165835+717125+94708+99638+21207+190892+484652+75356+47197+157763+379058+109813+312846+18429+0+3454+0+71326+0+2837+198734+0+0</f>
        <v>16511872</v>
      </c>
      <c r="E65" s="18">
        <f>SUM(C65:D65)</f>
        <v>16511872</v>
      </c>
      <c r="F65" s="18">
        <f>83984+40090+180061+51060+3283873+122451+240109+29062+83349+506106+297668+89014+27367+526551+186119+117891+91632+163159+147575+70309+206188+413434+697818+234386+78091+195347+34213+51133+39517+34669+363631+99255+2198638+271289+23760+655171+130745+149746+647549+85519+89971+19150+172371+437631+68045+42618+142457+342282+99159+282494+16641+0+3119+0+64406+0+2562+179453+0+0</f>
        <v>14909888</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179</v>
      </c>
    </row>
    <row r="2" spans="1:7" x14ac:dyDescent="0.2">
      <c r="A2" s="11" t="s">
        <v>180</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47908</v>
      </c>
      <c r="C6" s="15">
        <v>0</v>
      </c>
      <c r="D6" s="15">
        <v>49317</v>
      </c>
      <c r="E6" s="15">
        <v>49317</v>
      </c>
      <c r="F6" s="15">
        <v>49156</v>
      </c>
      <c r="G6" s="16">
        <f>IF(AND(F65&lt;&gt;0,49156&lt;&gt;0),IF(100*49156/(F65-0)&lt;0.005,"*",100*49156/(F65-0)),0)</f>
        <v>1.0929870591897541</v>
      </c>
    </row>
    <row r="7" spans="1:7" x14ac:dyDescent="0.2">
      <c r="A7" s="9" t="s">
        <v>95</v>
      </c>
      <c r="B7" s="15">
        <v>16473</v>
      </c>
      <c r="C7" s="15">
        <v>0</v>
      </c>
      <c r="D7" s="15">
        <v>16958</v>
      </c>
      <c r="E7" s="15">
        <v>16958</v>
      </c>
      <c r="F7" s="15">
        <v>16902</v>
      </c>
      <c r="G7" s="16">
        <f>IF(AND(F65&lt;&gt;0,16902&lt;&gt;0),IF(100*16902/(F65-0)&lt;0.005,"*",100*16902/(F65-0)),0)</f>
        <v>0.37581713879130163</v>
      </c>
    </row>
    <row r="8" spans="1:7" x14ac:dyDescent="0.2">
      <c r="A8" s="9" t="s">
        <v>96</v>
      </c>
      <c r="B8" s="15">
        <v>45663</v>
      </c>
      <c r="C8" s="15">
        <v>0</v>
      </c>
      <c r="D8" s="15">
        <v>47005</v>
      </c>
      <c r="E8" s="15">
        <v>47005</v>
      </c>
      <c r="F8" s="15">
        <v>46852</v>
      </c>
      <c r="G8" s="16">
        <f>IF(AND(F65&lt;&gt;0,46852&lt;&gt;0),IF(100*46852/(F65-0)&lt;0.005,"*",100*46852/(F65-0)),0)</f>
        <v>1.0417574598657002</v>
      </c>
    </row>
    <row r="9" spans="1:7" x14ac:dyDescent="0.2">
      <c r="A9" s="9" t="s">
        <v>97</v>
      </c>
      <c r="B9" s="15">
        <v>35125</v>
      </c>
      <c r="C9" s="15">
        <v>0</v>
      </c>
      <c r="D9" s="15">
        <v>36157</v>
      </c>
      <c r="E9" s="15">
        <v>36157</v>
      </c>
      <c r="F9" s="15">
        <v>36039</v>
      </c>
      <c r="G9" s="16">
        <f>IF(AND(F65&lt;&gt;0,36039&lt;&gt;0),IF(100*36039/(F65-0)&lt;0.005,"*",100*36039/(F65-0)),0)</f>
        <v>0.80132965713523374</v>
      </c>
    </row>
    <row r="10" spans="1:7" x14ac:dyDescent="0.2">
      <c r="A10" s="9" t="s">
        <v>98</v>
      </c>
      <c r="B10" s="15">
        <v>663486</v>
      </c>
      <c r="C10" s="15">
        <v>0</v>
      </c>
      <c r="D10" s="15">
        <v>682993</v>
      </c>
      <c r="E10" s="15">
        <v>682993</v>
      </c>
      <c r="F10" s="15">
        <v>680760</v>
      </c>
      <c r="G10" s="16">
        <f>IF(AND(F65&lt;&gt;0,680760&lt;&gt;0),IF(100*680760/(F65-0)&lt;0.005,"*",100*680760/(F65-0)),0)</f>
        <v>15.13674567527905</v>
      </c>
    </row>
    <row r="11" spans="1:7" x14ac:dyDescent="0.2">
      <c r="A11" s="9" t="s">
        <v>99</v>
      </c>
      <c r="B11" s="15">
        <v>60238</v>
      </c>
      <c r="C11" s="15">
        <v>0</v>
      </c>
      <c r="D11" s="15">
        <v>62009</v>
      </c>
      <c r="E11" s="15">
        <v>62009</v>
      </c>
      <c r="F11" s="15">
        <v>61806</v>
      </c>
      <c r="G11" s="16">
        <f>IF(AND(F65&lt;&gt;0,61806&lt;&gt;0),IF(100*61806/(F65-0)&lt;0.005,"*",100*61806/(F65-0)),0)</f>
        <v>1.374260683950727</v>
      </c>
    </row>
    <row r="12" spans="1:7" x14ac:dyDescent="0.2">
      <c r="A12" s="9" t="s">
        <v>100</v>
      </c>
      <c r="B12" s="15">
        <v>51021</v>
      </c>
      <c r="C12" s="15">
        <v>0</v>
      </c>
      <c r="D12" s="15">
        <v>52521</v>
      </c>
      <c r="E12" s="15">
        <v>52521</v>
      </c>
      <c r="F12" s="15">
        <v>52349</v>
      </c>
      <c r="G12" s="16">
        <f>IF(AND(F65&lt;&gt;0,52349&lt;&gt;0),IF(100*52349/(F65-0)&lt;0.005,"*",100*52349/(F65-0)),0)</f>
        <v>1.1639836349891048</v>
      </c>
    </row>
    <row r="13" spans="1:7" x14ac:dyDescent="0.2">
      <c r="A13" s="9" t="s">
        <v>101</v>
      </c>
      <c r="B13" s="15">
        <v>20127</v>
      </c>
      <c r="C13" s="15">
        <v>0</v>
      </c>
      <c r="D13" s="15">
        <v>20719</v>
      </c>
      <c r="E13" s="15">
        <v>20719</v>
      </c>
      <c r="F13" s="15">
        <v>20651</v>
      </c>
      <c r="G13" s="16">
        <f>IF(AND(F65&lt;&gt;0,20651&lt;&gt;0),IF(100*20651/(F65-0)&lt;0.005,"*",100*20651/(F65-0)),0)</f>
        <v>0.45917641303864454</v>
      </c>
    </row>
    <row r="14" spans="1:7" x14ac:dyDescent="0.2">
      <c r="A14" s="9" t="s">
        <v>102</v>
      </c>
      <c r="B14" s="15">
        <v>17881</v>
      </c>
      <c r="C14" s="15">
        <v>0</v>
      </c>
      <c r="D14" s="15">
        <v>18406</v>
      </c>
      <c r="E14" s="15">
        <v>18406</v>
      </c>
      <c r="F14" s="15">
        <v>18346</v>
      </c>
      <c r="G14" s="16">
        <f>IF(AND(F65&lt;&gt;0,18346&lt;&gt;0),IF(100*18346/(F65-0)&lt;0.005,"*",100*18346/(F65-0)),0)</f>
        <v>0.40792457864543957</v>
      </c>
    </row>
    <row r="15" spans="1:7" x14ac:dyDescent="0.2">
      <c r="A15" s="9" t="s">
        <v>103</v>
      </c>
      <c r="B15" s="15">
        <v>198123</v>
      </c>
      <c r="C15" s="15">
        <v>0</v>
      </c>
      <c r="D15" s="15">
        <v>203947</v>
      </c>
      <c r="E15" s="15">
        <v>203947</v>
      </c>
      <c r="F15" s="15">
        <v>203280</v>
      </c>
      <c r="G15" s="16">
        <f>IF(AND(F65&lt;&gt;0,203280&lt;&gt;0),IF(100*203280/(F65-0)&lt;0.005,"*",100*203280/(F65-0)),0)</f>
        <v>4.5199448570285057</v>
      </c>
    </row>
    <row r="16" spans="1:7" x14ac:dyDescent="0.2">
      <c r="A16" s="9" t="s">
        <v>104</v>
      </c>
      <c r="B16" s="15">
        <v>84929</v>
      </c>
      <c r="C16" s="15">
        <v>0</v>
      </c>
      <c r="D16" s="15">
        <v>87426</v>
      </c>
      <c r="E16" s="15">
        <v>87426</v>
      </c>
      <c r="F16" s="15">
        <v>87140</v>
      </c>
      <c r="G16" s="16">
        <f>IF(AND(F65&lt;&gt;0,87140&lt;&gt;0),IF(100*87140/(F65-0)&lt;0.005,"*",100*87140/(F65-0)),0)</f>
        <v>1.9375639258238093</v>
      </c>
    </row>
    <row r="17" spans="1:7" x14ac:dyDescent="0.2">
      <c r="A17" s="9" t="s">
        <v>105</v>
      </c>
      <c r="B17" s="15">
        <v>15898</v>
      </c>
      <c r="C17" s="15">
        <v>0</v>
      </c>
      <c r="D17" s="15">
        <v>16365</v>
      </c>
      <c r="E17" s="15">
        <v>16365</v>
      </c>
      <c r="F17" s="15">
        <v>16312</v>
      </c>
      <c r="G17" s="16">
        <f>IF(AND(F65&lt;&gt;0,16312&lt;&gt;0),IF(100*16312/(F65-0)&lt;0.005,"*",100*16312/(F65-0)),0)</f>
        <v>0.36269844799217327</v>
      </c>
    </row>
    <row r="18" spans="1:7" x14ac:dyDescent="0.2">
      <c r="A18" s="9" t="s">
        <v>106</v>
      </c>
      <c r="B18" s="15">
        <v>22777</v>
      </c>
      <c r="C18" s="15">
        <v>0</v>
      </c>
      <c r="D18" s="15">
        <v>23446</v>
      </c>
      <c r="E18" s="15">
        <v>23446</v>
      </c>
      <c r="F18" s="15">
        <v>23369</v>
      </c>
      <c r="G18" s="16">
        <f>IF(AND(F65&lt;&gt;0,23369&lt;&gt;0),IF(100*23369/(F65-0)&lt;0.005,"*",100*23369/(F65-0)),0)</f>
        <v>0.51961133099123935</v>
      </c>
    </row>
    <row r="19" spans="1:7" x14ac:dyDescent="0.2">
      <c r="A19" s="9" t="s">
        <v>107</v>
      </c>
      <c r="B19" s="15">
        <v>123617</v>
      </c>
      <c r="C19" s="15">
        <v>0</v>
      </c>
      <c r="D19" s="15">
        <v>127251</v>
      </c>
      <c r="E19" s="15">
        <v>127251</v>
      </c>
      <c r="F19" s="15">
        <v>126835</v>
      </c>
      <c r="G19" s="16">
        <f>IF(AND(F65&lt;&gt;0,126835&lt;&gt;0),IF(100*126835/(F65-0)&lt;0.005,"*",100*126835/(F65-0)),0)</f>
        <v>2.8201849957753367</v>
      </c>
    </row>
    <row r="20" spans="1:7" x14ac:dyDescent="0.2">
      <c r="A20" s="9" t="s">
        <v>108</v>
      </c>
      <c r="B20" s="15">
        <v>76155</v>
      </c>
      <c r="C20" s="15">
        <v>0</v>
      </c>
      <c r="D20" s="15">
        <v>78394</v>
      </c>
      <c r="E20" s="15">
        <v>78394</v>
      </c>
      <c r="F20" s="15">
        <v>78138</v>
      </c>
      <c r="G20" s="16">
        <f>IF(AND(F65&lt;&gt;0,78138&lt;&gt;0),IF(100*78138/(F65-0)&lt;0.005,"*",100*78138/(F65-0)),0)</f>
        <v>1.7374038333259216</v>
      </c>
    </row>
    <row r="21" spans="1:7" x14ac:dyDescent="0.2">
      <c r="A21" s="9" t="s">
        <v>109</v>
      </c>
      <c r="B21" s="15">
        <v>41431</v>
      </c>
      <c r="C21" s="15">
        <v>0</v>
      </c>
      <c r="D21" s="15">
        <v>42649</v>
      </c>
      <c r="E21" s="15">
        <v>42649</v>
      </c>
      <c r="F21" s="15">
        <v>42510</v>
      </c>
      <c r="G21" s="16">
        <f>IF(AND(F65&lt;&gt;0,42510&lt;&gt;0),IF(100*42510/(F65-0)&lt;0.005,"*",100*42510/(F65-0)),0)</f>
        <v>0.94521278961177568</v>
      </c>
    </row>
    <row r="22" spans="1:7" x14ac:dyDescent="0.2">
      <c r="A22" s="9" t="s">
        <v>110</v>
      </c>
      <c r="B22" s="15">
        <v>28489</v>
      </c>
      <c r="C22" s="15">
        <v>0</v>
      </c>
      <c r="D22" s="15">
        <v>29327</v>
      </c>
      <c r="E22" s="15">
        <v>29327</v>
      </c>
      <c r="F22" s="15">
        <v>29231</v>
      </c>
      <c r="G22" s="16">
        <f>IF(AND(F65&lt;&gt;0,29231&lt;&gt;0),IF(100*29231/(F65-0)&lt;0.005,"*",100*29231/(F65-0)),0)</f>
        <v>0.64995330635478277</v>
      </c>
    </row>
    <row r="23" spans="1:7" x14ac:dyDescent="0.2">
      <c r="A23" s="9" t="s">
        <v>111</v>
      </c>
      <c r="B23" s="15">
        <v>44094</v>
      </c>
      <c r="C23" s="15">
        <v>0</v>
      </c>
      <c r="D23" s="15">
        <v>45390</v>
      </c>
      <c r="E23" s="15">
        <v>45390</v>
      </c>
      <c r="F23" s="15">
        <v>45242</v>
      </c>
      <c r="G23" s="16">
        <f>IF(AND(F65&lt;&gt;0,45242&lt;&gt;0),IF(100*45242/(F65-0)&lt;0.005,"*",100*45242/(F65-0)),0)</f>
        <v>1.0059589985324855</v>
      </c>
    </row>
    <row r="24" spans="1:7" x14ac:dyDescent="0.2">
      <c r="A24" s="9" t="s">
        <v>112</v>
      </c>
      <c r="B24" s="15">
        <v>53226</v>
      </c>
      <c r="C24" s="15">
        <v>0</v>
      </c>
      <c r="D24" s="15">
        <v>54790</v>
      </c>
      <c r="E24" s="15">
        <v>54790</v>
      </c>
      <c r="F24" s="15">
        <v>54611</v>
      </c>
      <c r="G24" s="16">
        <f>IF(AND(F65&lt;&gt;0,54611&lt;&gt;0),IF(100*54611/(F65-0)&lt;0.005,"*",100*54611/(F65-0)),0)</f>
        <v>1.2142793614088139</v>
      </c>
    </row>
    <row r="25" spans="1:7" x14ac:dyDescent="0.2">
      <c r="A25" s="9" t="s">
        <v>113</v>
      </c>
      <c r="B25" s="15">
        <v>20844</v>
      </c>
      <c r="C25" s="15">
        <v>0</v>
      </c>
      <c r="D25" s="15">
        <v>21456</v>
      </c>
      <c r="E25" s="15">
        <v>21456</v>
      </c>
      <c r="F25" s="15">
        <v>21386</v>
      </c>
      <c r="G25" s="16">
        <f>IF(AND(F65&lt;&gt;0,21386&lt;&gt;0),IF(100*21386/(F65-0)&lt;0.005,"*",100*21386/(F65-0)),0)</f>
        <v>0.47551918886467737</v>
      </c>
    </row>
    <row r="26" spans="1:7" x14ac:dyDescent="0.2">
      <c r="A26" s="9" t="s">
        <v>114</v>
      </c>
      <c r="B26" s="15">
        <v>82749</v>
      </c>
      <c r="C26" s="15">
        <v>0</v>
      </c>
      <c r="D26" s="15">
        <v>85181</v>
      </c>
      <c r="E26" s="15">
        <v>85181</v>
      </c>
      <c r="F26" s="15">
        <v>84903</v>
      </c>
      <c r="G26" s="16">
        <f>IF(AND(F65&lt;&gt;0,84903&lt;&gt;0),IF(100*84903/(F65-0)&lt;0.005,"*",100*84903/(F65-0)),0)</f>
        <v>1.8878240761328768</v>
      </c>
    </row>
    <row r="27" spans="1:7" x14ac:dyDescent="0.2">
      <c r="A27" s="9" t="s">
        <v>115</v>
      </c>
      <c r="B27" s="15">
        <v>77738</v>
      </c>
      <c r="C27" s="15">
        <v>0</v>
      </c>
      <c r="D27" s="15">
        <v>80023</v>
      </c>
      <c r="E27" s="15">
        <v>80023</v>
      </c>
      <c r="F27" s="15">
        <v>79762</v>
      </c>
      <c r="G27" s="16">
        <f>IF(AND(F65&lt;&gt;0,79762&lt;&gt;0),IF(100*79762/(F65-0)&lt;0.005,"*",100*79762/(F65-0)),0)</f>
        <v>1.7735135856272513</v>
      </c>
    </row>
    <row r="28" spans="1:7" x14ac:dyDescent="0.2">
      <c r="A28" s="9" t="s">
        <v>116</v>
      </c>
      <c r="B28" s="15">
        <v>153348</v>
      </c>
      <c r="C28" s="15">
        <v>0</v>
      </c>
      <c r="D28" s="15">
        <v>157856</v>
      </c>
      <c r="E28" s="15">
        <v>157856</v>
      </c>
      <c r="F28" s="15">
        <v>157340</v>
      </c>
      <c r="G28" s="16">
        <f>IF(AND(F65&lt;&gt;0,157340&lt;&gt;0),IF(100*157340/(F65-0)&lt;0.005,"*",100*157340/(F65-0)),0)</f>
        <v>3.4984657802285763</v>
      </c>
    </row>
    <row r="29" spans="1:7" x14ac:dyDescent="0.2">
      <c r="A29" s="9" t="s">
        <v>117</v>
      </c>
      <c r="B29" s="15">
        <v>121614</v>
      </c>
      <c r="C29" s="15">
        <v>0</v>
      </c>
      <c r="D29" s="15">
        <v>125189</v>
      </c>
      <c r="E29" s="15">
        <v>125189</v>
      </c>
      <c r="F29" s="15">
        <v>124780</v>
      </c>
      <c r="G29" s="16">
        <f>IF(AND(F65&lt;&gt;0,124780&lt;&gt;0),IF(100*124780/(F65-0)&lt;0.005,"*",100*124780/(F65-0)),0)</f>
        <v>2.7744919286698981</v>
      </c>
    </row>
    <row r="30" spans="1:7" x14ac:dyDescent="0.2">
      <c r="A30" s="9" t="s">
        <v>118</v>
      </c>
      <c r="B30" s="15">
        <v>30408</v>
      </c>
      <c r="C30" s="15">
        <v>0</v>
      </c>
      <c r="D30" s="15">
        <v>31302</v>
      </c>
      <c r="E30" s="15">
        <v>31302</v>
      </c>
      <c r="F30" s="15">
        <v>31199</v>
      </c>
      <c r="G30" s="16">
        <f>IF(AND(F65&lt;&gt;0,31199&lt;&gt;0),IF(100*31199/(F65-0)&lt;0.005,"*",100*31199/(F65-0)),0)</f>
        <v>0.69371192244407875</v>
      </c>
    </row>
    <row r="31" spans="1:7" x14ac:dyDescent="0.2">
      <c r="A31" s="9" t="s">
        <v>119</v>
      </c>
      <c r="B31" s="15">
        <v>59302</v>
      </c>
      <c r="C31" s="15">
        <v>0</v>
      </c>
      <c r="D31" s="15">
        <v>61045</v>
      </c>
      <c r="E31" s="15">
        <v>61045</v>
      </c>
      <c r="F31" s="15">
        <v>60846</v>
      </c>
      <c r="G31" s="16">
        <f>IF(AND(F65&lt;&gt;0,60846&lt;&gt;0),IF(100*60846/(F65-0)&lt;0.005,"*",100*60846/(F65-0)),0)</f>
        <v>1.3529150175657045</v>
      </c>
    </row>
    <row r="32" spans="1:7" x14ac:dyDescent="0.2">
      <c r="A32" s="9" t="s">
        <v>120</v>
      </c>
      <c r="B32" s="15">
        <v>11975</v>
      </c>
      <c r="C32" s="15">
        <v>0</v>
      </c>
      <c r="D32" s="15">
        <v>12327</v>
      </c>
      <c r="E32" s="15">
        <v>12327</v>
      </c>
      <c r="F32" s="15">
        <v>12287</v>
      </c>
      <c r="G32" s="16">
        <f>IF(AND(F65&lt;&gt;0,12287&lt;&gt;0),IF(100*12287/(F65-0)&lt;0.005,"*",100*12287/(F65-0)),0)</f>
        <v>0.27320229465913637</v>
      </c>
    </row>
    <row r="33" spans="1:7" x14ac:dyDescent="0.2">
      <c r="A33" s="9" t="s">
        <v>121</v>
      </c>
      <c r="B33" s="15">
        <v>26859</v>
      </c>
      <c r="C33" s="15">
        <v>0</v>
      </c>
      <c r="D33" s="15">
        <v>27649</v>
      </c>
      <c r="E33" s="15">
        <v>27649</v>
      </c>
      <c r="F33" s="15">
        <v>27558</v>
      </c>
      <c r="G33" s="16">
        <f>IF(AND(F65&lt;&gt;0,27558&lt;&gt;0),IF(100*27558/(F65-0)&lt;0.005,"*",100*27558/(F65-0)),0)</f>
        <v>0.61275403566505093</v>
      </c>
    </row>
    <row r="34" spans="1:7" x14ac:dyDescent="0.2">
      <c r="A34" s="9" t="s">
        <v>122</v>
      </c>
      <c r="B34" s="15">
        <v>53906</v>
      </c>
      <c r="C34" s="15">
        <v>0</v>
      </c>
      <c r="D34" s="15">
        <v>55491</v>
      </c>
      <c r="E34" s="15">
        <v>55491</v>
      </c>
      <c r="F34" s="15">
        <v>55310</v>
      </c>
      <c r="G34" s="16">
        <f>IF(AND(F65&lt;&gt;0,55310&lt;&gt;0),IF(100*55310/(F65-0)&lt;0.005,"*",100*55310/(F65-0)),0)</f>
        <v>1.2298216747454085</v>
      </c>
    </row>
    <row r="35" spans="1:7" x14ac:dyDescent="0.2">
      <c r="A35" s="9" t="s">
        <v>123</v>
      </c>
      <c r="B35" s="15">
        <v>16990</v>
      </c>
      <c r="C35" s="15">
        <v>0</v>
      </c>
      <c r="D35" s="15">
        <v>17490</v>
      </c>
      <c r="E35" s="15">
        <v>17490</v>
      </c>
      <c r="F35" s="15">
        <v>17433</v>
      </c>
      <c r="G35" s="16">
        <f>IF(AND(F65&lt;&gt;0,17433&lt;&gt;0),IF(100*17433/(F65-0)&lt;0.005,"*",100*17433/(F65-0)),0)</f>
        <v>0.38762396051051717</v>
      </c>
    </row>
    <row r="36" spans="1:7" x14ac:dyDescent="0.2">
      <c r="A36" s="9" t="s">
        <v>124</v>
      </c>
      <c r="B36" s="15">
        <v>194383</v>
      </c>
      <c r="C36" s="15">
        <v>0</v>
      </c>
      <c r="D36" s="15">
        <v>200098</v>
      </c>
      <c r="E36" s="15">
        <v>200098</v>
      </c>
      <c r="F36" s="15">
        <v>199444</v>
      </c>
      <c r="G36" s="16">
        <f>IF(AND(F65&lt;&gt;0,199444&lt;&gt;0),IF(100*199444/(F65-0)&lt;0.005,"*",100*199444/(F65-0)),0)</f>
        <v>4.4346511317650199</v>
      </c>
    </row>
    <row r="37" spans="1:7" x14ac:dyDescent="0.2">
      <c r="A37" s="9" t="s">
        <v>125</v>
      </c>
      <c r="B37" s="15">
        <v>29430</v>
      </c>
      <c r="C37" s="15">
        <v>0</v>
      </c>
      <c r="D37" s="15">
        <v>30296</v>
      </c>
      <c r="E37" s="15">
        <v>30296</v>
      </c>
      <c r="F37" s="15">
        <v>30197</v>
      </c>
      <c r="G37" s="16">
        <f>IF(AND(F65&lt;&gt;0,30197&lt;&gt;0),IF(100*30197/(F65-0)&lt;0.005,"*",100*30197/(F65-0)),0)</f>
        <v>0.67143238315471165</v>
      </c>
    </row>
    <row r="38" spans="1:7" x14ac:dyDescent="0.2">
      <c r="A38" s="9" t="s">
        <v>126</v>
      </c>
      <c r="B38" s="15">
        <v>238730</v>
      </c>
      <c r="C38" s="15">
        <v>0</v>
      </c>
      <c r="D38" s="15">
        <v>245748</v>
      </c>
      <c r="E38" s="15">
        <v>245748</v>
      </c>
      <c r="F38" s="15">
        <v>244945</v>
      </c>
      <c r="G38" s="16">
        <f>IF(AND(F65&lt;&gt;0,244945&lt;&gt;0),IF(100*244945/(F65-0)&lt;0.005,"*",100*244945/(F65-0)),0)</f>
        <v>5.4463690132076312</v>
      </c>
    </row>
    <row r="39" spans="1:7" x14ac:dyDescent="0.2">
      <c r="A39" s="9" t="s">
        <v>127</v>
      </c>
      <c r="B39" s="15">
        <v>109374</v>
      </c>
      <c r="C39" s="15">
        <v>0</v>
      </c>
      <c r="D39" s="15">
        <v>112590</v>
      </c>
      <c r="E39" s="15">
        <v>112590</v>
      </c>
      <c r="F39" s="15">
        <v>112222</v>
      </c>
      <c r="G39" s="16">
        <f>IF(AND(F65&lt;&gt;0,112222&lt;&gt;0),IF(100*112222/(F65-0)&lt;0.005,"*",100*112222/(F65-0)),0)</f>
        <v>2.495263930270823</v>
      </c>
    </row>
    <row r="40" spans="1:7" x14ac:dyDescent="0.2">
      <c r="A40" s="9" t="s">
        <v>128</v>
      </c>
      <c r="B40" s="15">
        <v>12906</v>
      </c>
      <c r="C40" s="15">
        <v>0</v>
      </c>
      <c r="D40" s="15">
        <v>13286</v>
      </c>
      <c r="E40" s="15">
        <v>13286</v>
      </c>
      <c r="F40" s="15">
        <v>13242</v>
      </c>
      <c r="G40" s="16">
        <f>IF(AND(F65&lt;&gt;0,13242&lt;&gt;0),IF(100*13242/(F65-0)&lt;0.005,"*",100*13242/(F65-0)),0)</f>
        <v>0.29443678569840354</v>
      </c>
    </row>
    <row r="41" spans="1:7" x14ac:dyDescent="0.2">
      <c r="A41" s="9" t="s">
        <v>129</v>
      </c>
      <c r="B41" s="15">
        <v>246019</v>
      </c>
      <c r="C41" s="15">
        <v>0</v>
      </c>
      <c r="D41" s="15">
        <v>253253</v>
      </c>
      <c r="E41" s="15">
        <v>253253</v>
      </c>
      <c r="F41" s="15">
        <v>252425</v>
      </c>
      <c r="G41" s="16">
        <f>IF(AND(F65&lt;&gt;0,252425&lt;&gt;0),IF(100*252425/(F65-0)&lt;0.005,"*",100*252425/(F65-0)),0)</f>
        <v>5.6126873304575975</v>
      </c>
    </row>
    <row r="42" spans="1:7" x14ac:dyDescent="0.2">
      <c r="A42" s="9" t="s">
        <v>130</v>
      </c>
      <c r="B42" s="15">
        <v>40718</v>
      </c>
      <c r="C42" s="15">
        <v>0</v>
      </c>
      <c r="D42" s="15">
        <v>41915</v>
      </c>
      <c r="E42" s="15">
        <v>41915</v>
      </c>
      <c r="F42" s="15">
        <v>41778</v>
      </c>
      <c r="G42" s="16">
        <f>IF(AND(F65&lt;&gt;0,41778&lt;&gt;0),IF(100*41778/(F65-0)&lt;0.005,"*",100*41778/(F65-0)),0)</f>
        <v>0.92893671899319608</v>
      </c>
    </row>
    <row r="43" spans="1:7" x14ac:dyDescent="0.2">
      <c r="A43" s="9" t="s">
        <v>131</v>
      </c>
      <c r="B43" s="15">
        <v>78916</v>
      </c>
      <c r="C43" s="15">
        <v>0</v>
      </c>
      <c r="D43" s="15">
        <v>81237</v>
      </c>
      <c r="E43" s="15">
        <v>81237</v>
      </c>
      <c r="F43" s="15">
        <v>80971</v>
      </c>
      <c r="G43" s="16">
        <f>IF(AND(F65&lt;&gt;0,80971&lt;&gt;0),IF(100*80971/(F65-0)&lt;0.005,"*",100*80971/(F65-0)),0)</f>
        <v>1.8003957842308889</v>
      </c>
    </row>
    <row r="44" spans="1:7" x14ac:dyDescent="0.2">
      <c r="A44" s="9" t="s">
        <v>132</v>
      </c>
      <c r="B44" s="15">
        <v>190189</v>
      </c>
      <c r="C44" s="15">
        <v>0</v>
      </c>
      <c r="D44" s="15">
        <v>195780</v>
      </c>
      <c r="E44" s="15">
        <v>195780</v>
      </c>
      <c r="F44" s="15">
        <v>195140</v>
      </c>
      <c r="G44" s="16">
        <f>IF(AND(F65&lt;&gt;0,195140&lt;&gt;0),IF(100*195140/(F65-0)&lt;0.005,"*",100*195140/(F65-0)),0)</f>
        <v>4.338951394138836</v>
      </c>
    </row>
    <row r="45" spans="1:7" x14ac:dyDescent="0.2">
      <c r="A45" s="9" t="s">
        <v>133</v>
      </c>
      <c r="B45" s="15">
        <v>9779</v>
      </c>
      <c r="C45" s="15">
        <v>0</v>
      </c>
      <c r="D45" s="15">
        <v>10067</v>
      </c>
      <c r="E45" s="15">
        <v>10067</v>
      </c>
      <c r="F45" s="15">
        <v>10034</v>
      </c>
      <c r="G45" s="16">
        <f>IF(AND(F65&lt;&gt;0,10034&lt;&gt;0),IF(100*10034/(F65-0)&lt;0.005,"*",100*10034/(F65-0)),0)</f>
        <v>0.22310668386178681</v>
      </c>
    </row>
    <row r="46" spans="1:7" x14ac:dyDescent="0.2">
      <c r="A46" s="9" t="s">
        <v>134</v>
      </c>
      <c r="B46" s="15">
        <v>76763</v>
      </c>
      <c r="C46" s="15">
        <v>0</v>
      </c>
      <c r="D46" s="15">
        <v>79020</v>
      </c>
      <c r="E46" s="15">
        <v>79020</v>
      </c>
      <c r="F46" s="15">
        <v>78761</v>
      </c>
      <c r="G46" s="16">
        <f>IF(AND(F65&lt;&gt;0,78761&lt;&gt;0),IF(100*78761/(F65-0)&lt;0.005,"*",100*78761/(F65-0)),0)</f>
        <v>1.7512562814070352</v>
      </c>
    </row>
    <row r="47" spans="1:7" x14ac:dyDescent="0.2">
      <c r="A47" s="9" t="s">
        <v>135</v>
      </c>
      <c r="B47" s="15">
        <v>8179</v>
      </c>
      <c r="C47" s="15">
        <v>0</v>
      </c>
      <c r="D47" s="15">
        <v>8420</v>
      </c>
      <c r="E47" s="15">
        <v>8420</v>
      </c>
      <c r="F47" s="15">
        <v>8392</v>
      </c>
      <c r="G47" s="16">
        <f>IF(AND(F65&lt;&gt;0,8392&lt;&gt;0),IF(100*8392/(F65-0)&lt;0.005,"*",100*8392/(F65-0)),0)</f>
        <v>0.186596700315738</v>
      </c>
    </row>
    <row r="48" spans="1:7" x14ac:dyDescent="0.2">
      <c r="A48" s="9" t="s">
        <v>136</v>
      </c>
      <c r="B48" s="15">
        <v>84579</v>
      </c>
      <c r="C48" s="15">
        <v>0</v>
      </c>
      <c r="D48" s="15">
        <v>87065</v>
      </c>
      <c r="E48" s="15">
        <v>87065</v>
      </c>
      <c r="F48" s="15">
        <v>86781</v>
      </c>
      <c r="G48" s="16">
        <f>IF(AND(F65&lt;&gt;0,86781&lt;&gt;0),IF(100*86781/(F65-0)&lt;0.005,"*",100*86781/(F65-0)),0)</f>
        <v>1.9295815359985768</v>
      </c>
    </row>
    <row r="49" spans="1:7" x14ac:dyDescent="0.2">
      <c r="A49" s="9" t="s">
        <v>137</v>
      </c>
      <c r="B49" s="15">
        <v>341435</v>
      </c>
      <c r="C49" s="15">
        <v>0</v>
      </c>
      <c r="D49" s="15">
        <v>351472</v>
      </c>
      <c r="E49" s="15">
        <v>351472</v>
      </c>
      <c r="F49" s="15">
        <v>350324</v>
      </c>
      <c r="G49" s="16">
        <f>IF(AND(F65&lt;&gt;0,350324&lt;&gt;0),IF(100*350324/(F65-0)&lt;0.005,"*",100*350324/(F65-0)),0)</f>
        <v>7.7894783652777164</v>
      </c>
    </row>
    <row r="50" spans="1:7" x14ac:dyDescent="0.2">
      <c r="A50" s="9" t="s">
        <v>138</v>
      </c>
      <c r="B50" s="15">
        <v>28680</v>
      </c>
      <c r="C50" s="15">
        <v>0</v>
      </c>
      <c r="D50" s="15">
        <v>29523</v>
      </c>
      <c r="E50" s="15">
        <v>29523</v>
      </c>
      <c r="F50" s="15">
        <v>29426</v>
      </c>
      <c r="G50" s="16">
        <f>IF(AND(F65&lt;&gt;0,29426&lt;&gt;0),IF(100*29426/(F65-0)&lt;0.005,"*",100*29426/(F65-0)),0)</f>
        <v>0.6542891448392405</v>
      </c>
    </row>
    <row r="51" spans="1:7" x14ac:dyDescent="0.2">
      <c r="A51" s="9" t="s">
        <v>139</v>
      </c>
      <c r="B51" s="15">
        <v>10490</v>
      </c>
      <c r="C51" s="15">
        <v>0</v>
      </c>
      <c r="D51" s="15">
        <v>10798</v>
      </c>
      <c r="E51" s="15">
        <v>10798</v>
      </c>
      <c r="F51" s="15">
        <v>10763</v>
      </c>
      <c r="G51" s="16">
        <f>IF(AND(F65&lt;&gt;0,10763&lt;&gt;0),IF(100*10763/(F65-0)&lt;0.005,"*",100*10763/(F65-0)),0)</f>
        <v>0.23931604927291325</v>
      </c>
    </row>
    <row r="52" spans="1:7" x14ac:dyDescent="0.2">
      <c r="A52" s="9" t="s">
        <v>140</v>
      </c>
      <c r="B52" s="15">
        <v>76919</v>
      </c>
      <c r="C52" s="15">
        <v>0</v>
      </c>
      <c r="D52" s="15">
        <v>79180</v>
      </c>
      <c r="E52" s="15">
        <v>79180</v>
      </c>
      <c r="F52" s="15">
        <v>78921</v>
      </c>
      <c r="G52" s="16">
        <f>IF(AND(F65&lt;&gt;0,78921&lt;&gt;0),IF(100*78921/(F65-0)&lt;0.005,"*",100*78921/(F65-0)),0)</f>
        <v>1.7548138924712056</v>
      </c>
    </row>
    <row r="53" spans="1:7" x14ac:dyDescent="0.2">
      <c r="A53" s="9" t="s">
        <v>141</v>
      </c>
      <c r="B53" s="15">
        <v>106094</v>
      </c>
      <c r="C53" s="15">
        <v>0</v>
      </c>
      <c r="D53" s="15">
        <v>109213</v>
      </c>
      <c r="E53" s="15">
        <v>109213</v>
      </c>
      <c r="F53" s="15">
        <v>108856</v>
      </c>
      <c r="G53" s="16">
        <f>IF(AND(F65&lt;&gt;0,108856&lt;&gt;0),IF(100*108856/(F65-0)&lt;0.005,"*",100*108856/(F65-0)),0)</f>
        <v>2.4204206875083383</v>
      </c>
    </row>
    <row r="54" spans="1:7" x14ac:dyDescent="0.2">
      <c r="A54" s="9" t="s">
        <v>142</v>
      </c>
      <c r="B54" s="15">
        <v>27876</v>
      </c>
      <c r="C54" s="15">
        <v>0</v>
      </c>
      <c r="D54" s="15">
        <v>28695</v>
      </c>
      <c r="E54" s="15">
        <v>28695</v>
      </c>
      <c r="F54" s="15">
        <v>28601</v>
      </c>
      <c r="G54" s="16">
        <f>IF(AND(F65&lt;&gt;0,28601&lt;&gt;0),IF(100*28601/(F65-0)&lt;0.005,"*",100*28601/(F65-0)),0)</f>
        <v>0.6359452127896118</v>
      </c>
    </row>
    <row r="55" spans="1:7" x14ac:dyDescent="0.2">
      <c r="A55" s="9" t="s">
        <v>143</v>
      </c>
      <c r="B55" s="15">
        <v>79603</v>
      </c>
      <c r="C55" s="15">
        <v>0</v>
      </c>
      <c r="D55" s="15">
        <v>81943</v>
      </c>
      <c r="E55" s="15">
        <v>81943</v>
      </c>
      <c r="F55" s="15">
        <v>81675</v>
      </c>
      <c r="G55" s="16">
        <f>IF(AND(F65&lt;&gt;0,81675&lt;&gt;0),IF(100*81675/(F65-0)&lt;0.005,"*",100*81675/(F65-0)),0)</f>
        <v>1.8160492729132387</v>
      </c>
    </row>
    <row r="56" spans="1:7" x14ac:dyDescent="0.2">
      <c r="A56" s="9" t="s">
        <v>144</v>
      </c>
      <c r="B56" s="15">
        <v>8139</v>
      </c>
      <c r="C56" s="15">
        <v>0</v>
      </c>
      <c r="D56" s="15">
        <v>8379</v>
      </c>
      <c r="E56" s="15">
        <v>8379</v>
      </c>
      <c r="F56" s="15">
        <v>8351</v>
      </c>
      <c r="G56" s="16">
        <f>IF(AND(F65&lt;&gt;0,8351&lt;&gt;0),IF(100*8351/(F65-0)&lt;0.005,"*",100*8351/(F65-0)),0)</f>
        <v>0.18568506248054431</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4379</v>
      </c>
      <c r="C58" s="15">
        <v>0</v>
      </c>
      <c r="D58" s="15">
        <v>4508</v>
      </c>
      <c r="E58" s="15">
        <v>4508</v>
      </c>
      <c r="F58" s="15">
        <v>4493</v>
      </c>
      <c r="G58" s="16">
        <f>IF(AND(F65&lt;&gt;0,4493&lt;&gt;0),IF(100*4493/(F65-0)&lt;0.005,"*",100*4493/(F65-0)),0)</f>
        <v>9.9902165695735318E-2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24439</v>
      </c>
      <c r="C60" s="15">
        <v>0</v>
      </c>
      <c r="D60" s="15">
        <v>25157</v>
      </c>
      <c r="E60" s="15">
        <v>25157</v>
      </c>
      <c r="F60" s="15">
        <v>25075</v>
      </c>
      <c r="G60" s="16">
        <f>IF(AND(F65&lt;&gt;0,25075&lt;&gt;0),IF(100*25075/(F65-0)&lt;0.005,"*",100*25075/(F65-0)),0)</f>
        <v>0.5575443589629564</v>
      </c>
    </row>
    <row r="61" spans="1:7" x14ac:dyDescent="0.2">
      <c r="A61" s="9" t="s">
        <v>178</v>
      </c>
      <c r="B61" s="15">
        <v>0</v>
      </c>
      <c r="C61" s="15">
        <v>0</v>
      </c>
      <c r="D61" s="15">
        <v>0</v>
      </c>
      <c r="E61" s="15">
        <v>0</v>
      </c>
      <c r="F61" s="15">
        <v>0</v>
      </c>
      <c r="G61" s="16">
        <f>IF(AND(F65&lt;&gt;0,0&lt;&gt;0),IF(100*0/(F65-0)&lt;0.005,"*",100*0/(F65-0)),0)</f>
        <v>0</v>
      </c>
    </row>
    <row r="62" spans="1:7" x14ac:dyDescent="0.2">
      <c r="A62" s="9" t="s">
        <v>150</v>
      </c>
      <c r="B62" s="15">
        <v>3525</v>
      </c>
      <c r="C62" s="15">
        <v>0</v>
      </c>
      <c r="D62" s="15">
        <v>3629</v>
      </c>
      <c r="E62" s="15">
        <v>3629</v>
      </c>
      <c r="F62" s="15">
        <v>3617</v>
      </c>
      <c r="G62" s="16">
        <f>IF(AND(F65&lt;&gt;0,3617&lt;&gt;0),IF(100*3617/(F65-0)&lt;0.005,"*",100*3617/(F65-0)),0)</f>
        <v>8.0424245119402327E-2</v>
      </c>
    </row>
    <row r="63" spans="1:7" x14ac:dyDescent="0.2">
      <c r="A63" s="9" t="s">
        <v>151</v>
      </c>
      <c r="B63" s="15">
        <v>48954</v>
      </c>
      <c r="C63" s="15">
        <v>0</v>
      </c>
      <c r="D63" s="15">
        <v>49786</v>
      </c>
      <c r="E63" s="15">
        <v>49786</v>
      </c>
      <c r="F63" s="15">
        <v>50633</v>
      </c>
      <c r="G63" s="16">
        <f>IF(AND(F65&lt;&gt;0,50633&lt;&gt;0),IF(100*50633/(F65-0)&lt;0.005,"*",100*50633/(F65-0)),0)</f>
        <v>1.1258282563258772</v>
      </c>
    </row>
    <row r="64" spans="1:7" x14ac:dyDescent="0.2">
      <c r="A64" s="9" t="s">
        <v>152</v>
      </c>
      <c r="B64" s="15">
        <v>0</v>
      </c>
      <c r="C64" s="15">
        <v>0</v>
      </c>
      <c r="D64" s="15">
        <v>0</v>
      </c>
      <c r="E64" s="15">
        <v>0</v>
      </c>
      <c r="F64" s="15">
        <v>0</v>
      </c>
      <c r="G64" s="16">
        <v>0</v>
      </c>
    </row>
    <row r="65" spans="1:7" ht="15" customHeight="1" x14ac:dyDescent="0.2">
      <c r="A65" s="17" t="s">
        <v>93</v>
      </c>
      <c r="B65" s="18">
        <f>47908+16473+45663+35125+663486+60238+51021+20127+17881+198123+84929+15898+22777+123617+76155+41431+28489+44094+53226+20844+82749+77738+153348+121614+30408+59302+11975+26859+53906+16990+194383+29430+238730+109374+12906+246019+40718+78916+190189+9779+76763+8179+84579+341435+28680+10490+76919+106094+27876+79603+8139+0+4379+0+24439+0+3525+48954+0+0</f>
        <v>4382892</v>
      </c>
      <c r="C65" s="18">
        <f>0+0+0+0+0+0+0+0+0+0+0+0+0+0+0+0+0+0+0+0+0+0+0+0+0+0+0+0+0+0+0+0+0+0+0+0+0+0+0+0+0+0+0+0+0+0+0+0+0+0+0+0+0+0+0+0+0+0+0+0</f>
        <v>0</v>
      </c>
      <c r="D65" s="18">
        <f>49317+16958+47005+36157+682993+62009+52521+20719+18406+203947+87426+16365+23446+127251+78394+42649+29327+45390+54790+21456+85181+80023+157856+125189+31302+61045+12327+27649+55491+17490+200098+30296+245748+112590+13286+253253+41915+81237+195780+10067+79020+8420+87065+351472+29523+10798+79180+109213+28695+81943+8379+0+4508+0+25157+0+3629+49786+0+0</f>
        <v>4511137</v>
      </c>
      <c r="E65" s="18">
        <f>SUM(C65:D65)</f>
        <v>4511137</v>
      </c>
      <c r="F65" s="18">
        <f>49156+16902+46852+36039+680760+61806+52349+20651+18346+203280+87140+16312+23369+126835+78138+42510+29231+45242+54611+21386+84903+79762+157340+124780+31199+60846+12287+27558+55310+17433+199444+30197+244945+112222+13242+252425+41778+80971+195140+10034+78761+8392+86781+350324+29426+10763+78921+108856+28601+81675+8351+0+4493+0+25075+0+3617+50633+0+0</f>
        <v>4497400</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181</v>
      </c>
    </row>
    <row r="2" spans="1:7" x14ac:dyDescent="0.2">
      <c r="A2" s="11" t="s">
        <v>182</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51251</v>
      </c>
      <c r="C6" s="15">
        <v>0</v>
      </c>
      <c r="D6" s="15">
        <v>54417</v>
      </c>
      <c r="E6" s="15">
        <v>54417</v>
      </c>
      <c r="F6" s="15">
        <v>0</v>
      </c>
      <c r="G6" s="16">
        <f>IF(AND(F68&lt;&gt;0,0&lt;&gt;0),IF(100*0/(F68-0)&lt;0.005,"*",100*0/(F68-0)),0)</f>
        <v>0</v>
      </c>
    </row>
    <row r="7" spans="1:7" x14ac:dyDescent="0.2">
      <c r="A7" s="9" t="s">
        <v>95</v>
      </c>
      <c r="B7" s="15">
        <v>11020</v>
      </c>
      <c r="C7" s="15">
        <v>0</v>
      </c>
      <c r="D7" s="15">
        <v>11090</v>
      </c>
      <c r="E7" s="15">
        <v>11090</v>
      </c>
      <c r="F7" s="15">
        <v>0</v>
      </c>
      <c r="G7" s="16">
        <f>IF(AND(F68&lt;&gt;0,0&lt;&gt;0),IF(100*0/(F68-0)&lt;0.005,"*",100*0/(F68-0)),0)</f>
        <v>0</v>
      </c>
    </row>
    <row r="8" spans="1:7" x14ac:dyDescent="0.2">
      <c r="A8" s="9" t="s">
        <v>96</v>
      </c>
      <c r="B8" s="15">
        <v>26702</v>
      </c>
      <c r="C8" s="15">
        <v>0</v>
      </c>
      <c r="D8" s="15">
        <v>28519</v>
      </c>
      <c r="E8" s="15">
        <v>28519</v>
      </c>
      <c r="F8" s="15">
        <v>0</v>
      </c>
      <c r="G8" s="16">
        <f>IF(AND(F68&lt;&gt;0,0&lt;&gt;0),IF(100*0/(F68-0)&lt;0.005,"*",100*0/(F68-0)),0)</f>
        <v>0</v>
      </c>
    </row>
    <row r="9" spans="1:7" x14ac:dyDescent="0.2">
      <c r="A9" s="9" t="s">
        <v>97</v>
      </c>
      <c r="B9" s="15">
        <v>31138</v>
      </c>
      <c r="C9" s="15">
        <v>0</v>
      </c>
      <c r="D9" s="15">
        <v>30859</v>
      </c>
      <c r="E9" s="15">
        <v>30859</v>
      </c>
      <c r="F9" s="15">
        <v>0</v>
      </c>
      <c r="G9" s="16">
        <f>IF(AND(F68&lt;&gt;0,0&lt;&gt;0),IF(100*0/(F68-0)&lt;0.005,"*",100*0/(F68-0)),0)</f>
        <v>0</v>
      </c>
    </row>
    <row r="10" spans="1:7" x14ac:dyDescent="0.2">
      <c r="A10" s="9" t="s">
        <v>98</v>
      </c>
      <c r="B10" s="15">
        <v>191121</v>
      </c>
      <c r="C10" s="15">
        <v>0</v>
      </c>
      <c r="D10" s="15">
        <v>206353</v>
      </c>
      <c r="E10" s="15">
        <v>206353</v>
      </c>
      <c r="F10" s="15">
        <v>0</v>
      </c>
      <c r="G10" s="16">
        <f>IF(AND(F68&lt;&gt;0,0&lt;&gt;0),IF(100*0/(F68-0)&lt;0.005,"*",100*0/(F68-0)),0)</f>
        <v>0</v>
      </c>
    </row>
    <row r="11" spans="1:7" x14ac:dyDescent="0.2">
      <c r="A11" s="9" t="s">
        <v>99</v>
      </c>
      <c r="B11" s="15">
        <v>53183</v>
      </c>
      <c r="C11" s="15">
        <v>0</v>
      </c>
      <c r="D11" s="15">
        <v>54337</v>
      </c>
      <c r="E11" s="15">
        <v>54337</v>
      </c>
      <c r="F11" s="15">
        <v>0</v>
      </c>
      <c r="G11" s="16">
        <f>IF(AND(F68&lt;&gt;0,0&lt;&gt;0),IF(100*0/(F68-0)&lt;0.005,"*",100*0/(F68-0)),0)</f>
        <v>0</v>
      </c>
    </row>
    <row r="12" spans="1:7" x14ac:dyDescent="0.2">
      <c r="A12" s="9" t="s">
        <v>100</v>
      </c>
      <c r="B12" s="15">
        <v>80749</v>
      </c>
      <c r="C12" s="15">
        <v>0</v>
      </c>
      <c r="D12" s="15">
        <v>76052</v>
      </c>
      <c r="E12" s="15">
        <v>76052</v>
      </c>
      <c r="F12" s="15">
        <v>0</v>
      </c>
      <c r="G12" s="16">
        <f>IF(AND(F68&lt;&gt;0,0&lt;&gt;0),IF(100*0/(F68-0)&lt;0.005,"*",100*0/(F68-0)),0)</f>
        <v>0</v>
      </c>
    </row>
    <row r="13" spans="1:7" x14ac:dyDescent="0.2">
      <c r="A13" s="9" t="s">
        <v>101</v>
      </c>
      <c r="B13" s="15">
        <v>13655</v>
      </c>
      <c r="C13" s="15">
        <v>0</v>
      </c>
      <c r="D13" s="15">
        <v>13086</v>
      </c>
      <c r="E13" s="15">
        <v>13086</v>
      </c>
      <c r="F13" s="15">
        <v>0</v>
      </c>
      <c r="G13" s="16">
        <f>IF(AND(F68&lt;&gt;0,0&lt;&gt;0),IF(100*0/(F68-0)&lt;0.005,"*",100*0/(F68-0)),0)</f>
        <v>0</v>
      </c>
    </row>
    <row r="14" spans="1:7" x14ac:dyDescent="0.2">
      <c r="A14" s="9" t="s">
        <v>102</v>
      </c>
      <c r="B14" s="15">
        <v>11151</v>
      </c>
      <c r="C14" s="15">
        <v>0</v>
      </c>
      <c r="D14" s="15">
        <v>11302</v>
      </c>
      <c r="E14" s="15">
        <v>11302</v>
      </c>
      <c r="F14" s="15">
        <v>0</v>
      </c>
      <c r="G14" s="16">
        <f>IF(AND(F68&lt;&gt;0,0&lt;&gt;0),IF(100*0/(F68-0)&lt;0.005,"*",100*0/(F68-0)),0)</f>
        <v>0</v>
      </c>
    </row>
    <row r="15" spans="1:7" x14ac:dyDescent="0.2">
      <c r="A15" s="9" t="s">
        <v>103</v>
      </c>
      <c r="B15" s="15">
        <v>91512</v>
      </c>
      <c r="C15" s="15">
        <v>0</v>
      </c>
      <c r="D15" s="15">
        <v>97739</v>
      </c>
      <c r="E15" s="15">
        <v>97739</v>
      </c>
      <c r="F15" s="15">
        <v>0</v>
      </c>
      <c r="G15" s="16">
        <f>IF(AND(F68&lt;&gt;0,0&lt;&gt;0),IF(100*0/(F68-0)&lt;0.005,"*",100*0/(F68-0)),0)</f>
        <v>0</v>
      </c>
    </row>
    <row r="16" spans="1:7" x14ac:dyDescent="0.2">
      <c r="A16" s="9" t="s">
        <v>104</v>
      </c>
      <c r="B16" s="15">
        <v>72366</v>
      </c>
      <c r="C16" s="15">
        <v>0</v>
      </c>
      <c r="D16" s="15">
        <v>77290</v>
      </c>
      <c r="E16" s="15">
        <v>77290</v>
      </c>
      <c r="F16" s="15">
        <v>0</v>
      </c>
      <c r="G16" s="16">
        <f>IF(AND(F68&lt;&gt;0,0&lt;&gt;0),IF(100*0/(F68-0)&lt;0.005,"*",100*0/(F68-0)),0)</f>
        <v>0</v>
      </c>
    </row>
    <row r="17" spans="1:7" x14ac:dyDescent="0.2">
      <c r="A17" s="9" t="s">
        <v>105</v>
      </c>
      <c r="B17" s="15">
        <v>5005</v>
      </c>
      <c r="C17" s="15">
        <v>0</v>
      </c>
      <c r="D17" s="15">
        <v>5062</v>
      </c>
      <c r="E17" s="15">
        <v>5062</v>
      </c>
      <c r="F17" s="15">
        <v>0</v>
      </c>
      <c r="G17" s="16">
        <f>IF(AND(F68&lt;&gt;0,0&lt;&gt;0),IF(100*0/(F68-0)&lt;0.005,"*",100*0/(F68-0)),0)</f>
        <v>0</v>
      </c>
    </row>
    <row r="18" spans="1:7" x14ac:dyDescent="0.2">
      <c r="A18" s="9" t="s">
        <v>106</v>
      </c>
      <c r="B18" s="15">
        <v>20427</v>
      </c>
      <c r="C18" s="15">
        <v>0</v>
      </c>
      <c r="D18" s="15">
        <v>20705</v>
      </c>
      <c r="E18" s="15">
        <v>20705</v>
      </c>
      <c r="F18" s="15">
        <v>0</v>
      </c>
      <c r="G18" s="16">
        <f>IF(AND(F68&lt;&gt;0,0&lt;&gt;0),IF(100*0/(F68-0)&lt;0.005,"*",100*0/(F68-0)),0)</f>
        <v>0</v>
      </c>
    </row>
    <row r="19" spans="1:7" x14ac:dyDescent="0.2">
      <c r="A19" s="9" t="s">
        <v>107</v>
      </c>
      <c r="B19" s="15">
        <v>171038</v>
      </c>
      <c r="C19" s="15">
        <v>0</v>
      </c>
      <c r="D19" s="15">
        <v>173936</v>
      </c>
      <c r="E19" s="15">
        <v>173936</v>
      </c>
      <c r="F19" s="15">
        <v>0</v>
      </c>
      <c r="G19" s="16">
        <f>IF(AND(F68&lt;&gt;0,0&lt;&gt;0),IF(100*0/(F68-0)&lt;0.005,"*",100*0/(F68-0)),0)</f>
        <v>0</v>
      </c>
    </row>
    <row r="20" spans="1:7" x14ac:dyDescent="0.2">
      <c r="A20" s="9" t="s">
        <v>108</v>
      </c>
      <c r="B20" s="15">
        <v>77435</v>
      </c>
      <c r="C20" s="15">
        <v>0</v>
      </c>
      <c r="D20" s="15">
        <v>77748</v>
      </c>
      <c r="E20" s="15">
        <v>77748</v>
      </c>
      <c r="F20" s="15">
        <v>0</v>
      </c>
      <c r="G20" s="16">
        <f>IF(AND(F68&lt;&gt;0,0&lt;&gt;0),IF(100*0/(F68-0)&lt;0.005,"*",100*0/(F68-0)),0)</f>
        <v>0</v>
      </c>
    </row>
    <row r="21" spans="1:7" x14ac:dyDescent="0.2">
      <c r="A21" s="9" t="s">
        <v>109</v>
      </c>
      <c r="B21" s="15">
        <v>54884</v>
      </c>
      <c r="C21" s="15">
        <v>0</v>
      </c>
      <c r="D21" s="15">
        <v>55106</v>
      </c>
      <c r="E21" s="15">
        <v>55106</v>
      </c>
      <c r="F21" s="15">
        <v>0</v>
      </c>
      <c r="G21" s="16">
        <f>IF(AND(F68&lt;&gt;0,0&lt;&gt;0),IF(100*0/(F68-0)&lt;0.005,"*",100*0/(F68-0)),0)</f>
        <v>0</v>
      </c>
    </row>
    <row r="22" spans="1:7" x14ac:dyDescent="0.2">
      <c r="A22" s="9" t="s">
        <v>110</v>
      </c>
      <c r="B22" s="15">
        <v>36176</v>
      </c>
      <c r="C22" s="15">
        <v>0</v>
      </c>
      <c r="D22" s="15">
        <v>36838</v>
      </c>
      <c r="E22" s="15">
        <v>36838</v>
      </c>
      <c r="F22" s="15">
        <v>0</v>
      </c>
      <c r="G22" s="16">
        <f>IF(AND(F68&lt;&gt;0,0&lt;&gt;0),IF(100*0/(F68-0)&lt;0.005,"*",100*0/(F68-0)),0)</f>
        <v>0</v>
      </c>
    </row>
    <row r="23" spans="1:7" x14ac:dyDescent="0.2">
      <c r="A23" s="9" t="s">
        <v>111</v>
      </c>
      <c r="B23" s="15">
        <v>53579</v>
      </c>
      <c r="C23" s="15">
        <v>0</v>
      </c>
      <c r="D23" s="15">
        <v>55279</v>
      </c>
      <c r="E23" s="15">
        <v>55279</v>
      </c>
      <c r="F23" s="15">
        <v>0</v>
      </c>
      <c r="G23" s="16">
        <f>IF(AND(F68&lt;&gt;0,0&lt;&gt;0),IF(100*0/(F68-0)&lt;0.005,"*",100*0/(F68-0)),0)</f>
        <v>0</v>
      </c>
    </row>
    <row r="24" spans="1:7" x14ac:dyDescent="0.2">
      <c r="A24" s="9" t="s">
        <v>112</v>
      </c>
      <c r="B24" s="15">
        <v>48125</v>
      </c>
      <c r="C24" s="15">
        <v>0</v>
      </c>
      <c r="D24" s="15">
        <v>51413</v>
      </c>
      <c r="E24" s="15">
        <v>51413</v>
      </c>
      <c r="F24" s="15">
        <v>0</v>
      </c>
      <c r="G24" s="16">
        <f>IF(AND(F68&lt;&gt;0,0&lt;&gt;0),IF(100*0/(F68-0)&lt;0.005,"*",100*0/(F68-0)),0)</f>
        <v>0</v>
      </c>
    </row>
    <row r="25" spans="1:7" x14ac:dyDescent="0.2">
      <c r="A25" s="9" t="s">
        <v>113</v>
      </c>
      <c r="B25" s="15">
        <v>38800</v>
      </c>
      <c r="C25" s="15">
        <v>0</v>
      </c>
      <c r="D25" s="15">
        <v>38726</v>
      </c>
      <c r="E25" s="15">
        <v>38726</v>
      </c>
      <c r="F25" s="15">
        <v>0</v>
      </c>
      <c r="G25" s="16">
        <f>IF(AND(F68&lt;&gt;0,0&lt;&gt;0),IF(100*0/(F68-0)&lt;0.005,"*",100*0/(F68-0)),0)</f>
        <v>0</v>
      </c>
    </row>
    <row r="26" spans="1:7" x14ac:dyDescent="0.2">
      <c r="A26" s="9" t="s">
        <v>114</v>
      </c>
      <c r="B26" s="15">
        <v>81688</v>
      </c>
      <c r="C26" s="15">
        <v>0</v>
      </c>
      <c r="D26" s="15">
        <v>79769</v>
      </c>
      <c r="E26" s="15">
        <v>79769</v>
      </c>
      <c r="F26" s="15">
        <v>0</v>
      </c>
      <c r="G26" s="16">
        <f>IF(AND(F68&lt;&gt;0,0&lt;&gt;0),IF(100*0/(F68-0)&lt;0.005,"*",100*0/(F68-0)),0)</f>
        <v>0</v>
      </c>
    </row>
    <row r="27" spans="1:7" x14ac:dyDescent="0.2">
      <c r="A27" s="9" t="s">
        <v>115</v>
      </c>
      <c r="B27" s="15">
        <v>147627</v>
      </c>
      <c r="C27" s="15">
        <v>0</v>
      </c>
      <c r="D27" s="15">
        <v>137656</v>
      </c>
      <c r="E27" s="15">
        <v>137656</v>
      </c>
      <c r="F27" s="15">
        <v>0</v>
      </c>
      <c r="G27" s="16">
        <f>IF(AND(F68&lt;&gt;0,0&lt;&gt;0),IF(100*0/(F68-0)&lt;0.005,"*",100*0/(F68-0)),0)</f>
        <v>0</v>
      </c>
    </row>
    <row r="28" spans="1:7" x14ac:dyDescent="0.2">
      <c r="A28" s="9" t="s">
        <v>116</v>
      </c>
      <c r="B28" s="15">
        <v>161307</v>
      </c>
      <c r="C28" s="15">
        <v>0</v>
      </c>
      <c r="D28" s="15">
        <v>166932</v>
      </c>
      <c r="E28" s="15">
        <v>166932</v>
      </c>
      <c r="F28" s="15">
        <v>0</v>
      </c>
      <c r="G28" s="16">
        <f>IF(AND(F68&lt;&gt;0,0&lt;&gt;0),IF(100*0/(F68-0)&lt;0.005,"*",100*0/(F68-0)),0)</f>
        <v>0</v>
      </c>
    </row>
    <row r="29" spans="1:7" x14ac:dyDescent="0.2">
      <c r="A29" s="9" t="s">
        <v>117</v>
      </c>
      <c r="B29" s="15">
        <v>116990</v>
      </c>
      <c r="C29" s="15">
        <v>0</v>
      </c>
      <c r="D29" s="15">
        <v>117463</v>
      </c>
      <c r="E29" s="15">
        <v>117463</v>
      </c>
      <c r="F29" s="15">
        <v>0</v>
      </c>
      <c r="G29" s="16">
        <f>IF(AND(F68&lt;&gt;0,0&lt;&gt;0),IF(100*0/(F68-0)&lt;0.005,"*",100*0/(F68-0)),0)</f>
        <v>0</v>
      </c>
    </row>
    <row r="30" spans="1:7" x14ac:dyDescent="0.2">
      <c r="A30" s="9" t="s">
        <v>118</v>
      </c>
      <c r="B30" s="15">
        <v>32531</v>
      </c>
      <c r="C30" s="15">
        <v>0</v>
      </c>
      <c r="D30" s="15">
        <v>32531</v>
      </c>
      <c r="E30" s="15">
        <v>32531</v>
      </c>
      <c r="F30" s="15">
        <v>0</v>
      </c>
      <c r="G30" s="16">
        <f>IF(AND(F68&lt;&gt;0,0&lt;&gt;0),IF(100*0/(F68-0)&lt;0.005,"*",100*0/(F68-0)),0)</f>
        <v>0</v>
      </c>
    </row>
    <row r="31" spans="1:7" x14ac:dyDescent="0.2">
      <c r="A31" s="9" t="s">
        <v>119</v>
      </c>
      <c r="B31" s="15">
        <v>81065</v>
      </c>
      <c r="C31" s="15">
        <v>0</v>
      </c>
      <c r="D31" s="15">
        <v>81028</v>
      </c>
      <c r="E31" s="15">
        <v>81028</v>
      </c>
      <c r="F31" s="15">
        <v>0</v>
      </c>
      <c r="G31" s="16">
        <f>IF(AND(F68&lt;&gt;0,0&lt;&gt;0),IF(100*0/(F68-0)&lt;0.005,"*",100*0/(F68-0)),0)</f>
        <v>0</v>
      </c>
    </row>
    <row r="32" spans="1:7" x14ac:dyDescent="0.2">
      <c r="A32" s="9" t="s">
        <v>120</v>
      </c>
      <c r="B32" s="15">
        <v>20779</v>
      </c>
      <c r="C32" s="15">
        <v>0</v>
      </c>
      <c r="D32" s="15">
        <v>21062</v>
      </c>
      <c r="E32" s="15">
        <v>21062</v>
      </c>
      <c r="F32" s="15">
        <v>0</v>
      </c>
      <c r="G32" s="16">
        <f>IF(AND(F68&lt;&gt;0,0&lt;&gt;0),IF(100*0/(F68-0)&lt;0.005,"*",100*0/(F68-0)),0)</f>
        <v>0</v>
      </c>
    </row>
    <row r="33" spans="1:7" x14ac:dyDescent="0.2">
      <c r="A33" s="9" t="s">
        <v>121</v>
      </c>
      <c r="B33" s="15">
        <v>31518</v>
      </c>
      <c r="C33" s="15">
        <v>0</v>
      </c>
      <c r="D33" s="15">
        <v>31947</v>
      </c>
      <c r="E33" s="15">
        <v>31947</v>
      </c>
      <c r="F33" s="15">
        <v>0</v>
      </c>
      <c r="G33" s="16">
        <f>IF(AND(F68&lt;&gt;0,0&lt;&gt;0),IF(100*0/(F68-0)&lt;0.005,"*",100*0/(F68-0)),0)</f>
        <v>0</v>
      </c>
    </row>
    <row r="34" spans="1:7" x14ac:dyDescent="0.2">
      <c r="A34" s="9" t="s">
        <v>122</v>
      </c>
      <c r="B34" s="15">
        <v>13139</v>
      </c>
      <c r="C34" s="15">
        <v>0</v>
      </c>
      <c r="D34" s="15">
        <v>14033</v>
      </c>
      <c r="E34" s="15">
        <v>14033</v>
      </c>
      <c r="F34" s="15">
        <v>0</v>
      </c>
      <c r="G34" s="16">
        <f>IF(AND(F68&lt;&gt;0,0&lt;&gt;0),IF(100*0/(F68-0)&lt;0.005,"*",100*0/(F68-0)),0)</f>
        <v>0</v>
      </c>
    </row>
    <row r="35" spans="1:7" x14ac:dyDescent="0.2">
      <c r="A35" s="9" t="s">
        <v>123</v>
      </c>
      <c r="B35" s="15">
        <v>27999</v>
      </c>
      <c r="C35" s="15">
        <v>0</v>
      </c>
      <c r="D35" s="15">
        <v>27554</v>
      </c>
      <c r="E35" s="15">
        <v>27554</v>
      </c>
      <c r="F35" s="15">
        <v>0</v>
      </c>
      <c r="G35" s="16">
        <f>IF(AND(F68&lt;&gt;0,0&lt;&gt;0),IF(100*0/(F68-0)&lt;0.005,"*",100*0/(F68-0)),0)</f>
        <v>0</v>
      </c>
    </row>
    <row r="36" spans="1:7" x14ac:dyDescent="0.2">
      <c r="A36" s="9" t="s">
        <v>124</v>
      </c>
      <c r="B36" s="15">
        <v>127431</v>
      </c>
      <c r="C36" s="15">
        <v>0</v>
      </c>
      <c r="D36" s="15">
        <v>125281</v>
      </c>
      <c r="E36" s="15">
        <v>125281</v>
      </c>
      <c r="F36" s="15">
        <v>0</v>
      </c>
      <c r="G36" s="16">
        <f>IF(AND(F68&lt;&gt;0,0&lt;&gt;0),IF(100*0/(F68-0)&lt;0.005,"*",100*0/(F68-0)),0)</f>
        <v>0</v>
      </c>
    </row>
    <row r="37" spans="1:7" x14ac:dyDescent="0.2">
      <c r="A37" s="9" t="s">
        <v>125</v>
      </c>
      <c r="B37" s="15">
        <v>18756</v>
      </c>
      <c r="C37" s="15">
        <v>0</v>
      </c>
      <c r="D37" s="15">
        <v>20116</v>
      </c>
      <c r="E37" s="15">
        <v>20116</v>
      </c>
      <c r="F37" s="15">
        <v>0</v>
      </c>
      <c r="G37" s="16">
        <f>IF(AND(F68&lt;&gt;0,0&lt;&gt;0),IF(100*0/(F68-0)&lt;0.005,"*",100*0/(F68-0)),0)</f>
        <v>0</v>
      </c>
    </row>
    <row r="38" spans="1:7" x14ac:dyDescent="0.2">
      <c r="A38" s="9" t="s">
        <v>126</v>
      </c>
      <c r="B38" s="15">
        <v>374483</v>
      </c>
      <c r="C38" s="15">
        <v>0</v>
      </c>
      <c r="D38" s="15">
        <v>375998</v>
      </c>
      <c r="E38" s="15">
        <v>375998</v>
      </c>
      <c r="F38" s="15">
        <v>0</v>
      </c>
      <c r="G38" s="16">
        <f>IF(AND(F68&lt;&gt;0,0&lt;&gt;0),IF(100*0/(F68-0)&lt;0.005,"*",100*0/(F68-0)),0)</f>
        <v>0</v>
      </c>
    </row>
    <row r="39" spans="1:7" x14ac:dyDescent="0.2">
      <c r="A39" s="9" t="s">
        <v>127</v>
      </c>
      <c r="B39" s="15">
        <v>95617</v>
      </c>
      <c r="C39" s="15">
        <v>0</v>
      </c>
      <c r="D39" s="15">
        <v>97659</v>
      </c>
      <c r="E39" s="15">
        <v>97659</v>
      </c>
      <c r="F39" s="15">
        <v>0</v>
      </c>
      <c r="G39" s="16">
        <f>IF(AND(F68&lt;&gt;0,0&lt;&gt;0),IF(100*0/(F68-0)&lt;0.005,"*",100*0/(F68-0)),0)</f>
        <v>0</v>
      </c>
    </row>
    <row r="40" spans="1:7" x14ac:dyDescent="0.2">
      <c r="A40" s="9" t="s">
        <v>128</v>
      </c>
      <c r="B40" s="15">
        <v>20789</v>
      </c>
      <c r="C40" s="15">
        <v>0</v>
      </c>
      <c r="D40" s="15">
        <v>21072</v>
      </c>
      <c r="E40" s="15">
        <v>21072</v>
      </c>
      <c r="F40" s="15">
        <v>0</v>
      </c>
      <c r="G40" s="16">
        <f>IF(AND(F68&lt;&gt;0,0&lt;&gt;0),IF(100*0/(F68-0)&lt;0.005,"*",100*0/(F68-0)),0)</f>
        <v>0</v>
      </c>
    </row>
    <row r="41" spans="1:7" x14ac:dyDescent="0.2">
      <c r="A41" s="9" t="s">
        <v>129</v>
      </c>
      <c r="B41" s="15">
        <v>154078</v>
      </c>
      <c r="C41" s="15">
        <v>0</v>
      </c>
      <c r="D41" s="15">
        <v>156515</v>
      </c>
      <c r="E41" s="15">
        <v>156515</v>
      </c>
      <c r="F41" s="15">
        <v>0</v>
      </c>
      <c r="G41" s="16">
        <f>IF(AND(F68&lt;&gt;0,0&lt;&gt;0),IF(100*0/(F68-0)&lt;0.005,"*",100*0/(F68-0)),0)</f>
        <v>0</v>
      </c>
    </row>
    <row r="42" spans="1:7" x14ac:dyDescent="0.2">
      <c r="A42" s="9" t="s">
        <v>130</v>
      </c>
      <c r="B42" s="15">
        <v>36846</v>
      </c>
      <c r="C42" s="15">
        <v>0</v>
      </c>
      <c r="D42" s="15">
        <v>38552</v>
      </c>
      <c r="E42" s="15">
        <v>38552</v>
      </c>
      <c r="F42" s="15">
        <v>0</v>
      </c>
      <c r="G42" s="16">
        <f>IF(AND(F68&lt;&gt;0,0&lt;&gt;0),IF(100*0/(F68-0)&lt;0.005,"*",100*0/(F68-0)),0)</f>
        <v>0</v>
      </c>
    </row>
    <row r="43" spans="1:7" x14ac:dyDescent="0.2">
      <c r="A43" s="9" t="s">
        <v>131</v>
      </c>
      <c r="B43" s="15">
        <v>36059</v>
      </c>
      <c r="C43" s="15">
        <v>0</v>
      </c>
      <c r="D43" s="15">
        <v>36207</v>
      </c>
      <c r="E43" s="15">
        <v>36207</v>
      </c>
      <c r="F43" s="15">
        <v>0</v>
      </c>
      <c r="G43" s="16">
        <f>IF(AND(F68&lt;&gt;0,0&lt;&gt;0),IF(100*0/(F68-0)&lt;0.005,"*",100*0/(F68-0)),0)</f>
        <v>0</v>
      </c>
    </row>
    <row r="44" spans="1:7" x14ac:dyDescent="0.2">
      <c r="A44" s="9" t="s">
        <v>132</v>
      </c>
      <c r="B44" s="15">
        <v>214815</v>
      </c>
      <c r="C44" s="15">
        <v>0</v>
      </c>
      <c r="D44" s="15">
        <v>208574</v>
      </c>
      <c r="E44" s="15">
        <v>208574</v>
      </c>
      <c r="F44" s="15">
        <v>0</v>
      </c>
      <c r="G44" s="16">
        <f>IF(AND(F68&lt;&gt;0,0&lt;&gt;0),IF(100*0/(F68-0)&lt;0.005,"*",100*0/(F68-0)),0)</f>
        <v>0</v>
      </c>
    </row>
    <row r="45" spans="1:7" x14ac:dyDescent="0.2">
      <c r="A45" s="9" t="s">
        <v>133</v>
      </c>
      <c r="B45" s="15">
        <v>26862</v>
      </c>
      <c r="C45" s="15">
        <v>0</v>
      </c>
      <c r="D45" s="15">
        <v>23922</v>
      </c>
      <c r="E45" s="15">
        <v>23922</v>
      </c>
      <c r="F45" s="15">
        <v>0</v>
      </c>
      <c r="G45" s="16">
        <f>IF(AND(F68&lt;&gt;0,0&lt;&gt;0),IF(100*0/(F68-0)&lt;0.005,"*",100*0/(F68-0)),0)</f>
        <v>0</v>
      </c>
    </row>
    <row r="46" spans="1:7" x14ac:dyDescent="0.2">
      <c r="A46" s="9" t="s">
        <v>134</v>
      </c>
      <c r="B46" s="15">
        <v>43111</v>
      </c>
      <c r="C46" s="15">
        <v>0</v>
      </c>
      <c r="D46" s="15">
        <v>45958</v>
      </c>
      <c r="E46" s="15">
        <v>45958</v>
      </c>
      <c r="F46" s="15">
        <v>0</v>
      </c>
      <c r="G46" s="16">
        <f>IF(AND(F68&lt;&gt;0,0&lt;&gt;0),IF(100*0/(F68-0)&lt;0.005,"*",100*0/(F68-0)),0)</f>
        <v>0</v>
      </c>
    </row>
    <row r="47" spans="1:7" x14ac:dyDescent="0.2">
      <c r="A47" s="9" t="s">
        <v>135</v>
      </c>
      <c r="B47" s="15">
        <v>18749</v>
      </c>
      <c r="C47" s="15">
        <v>0</v>
      </c>
      <c r="D47" s="15">
        <v>19004</v>
      </c>
      <c r="E47" s="15">
        <v>19004</v>
      </c>
      <c r="F47" s="15">
        <v>0</v>
      </c>
      <c r="G47" s="16">
        <f>IF(AND(F68&lt;&gt;0,0&lt;&gt;0),IF(100*0/(F68-0)&lt;0.005,"*",100*0/(F68-0)),0)</f>
        <v>0</v>
      </c>
    </row>
    <row r="48" spans="1:7" x14ac:dyDescent="0.2">
      <c r="A48" s="9" t="s">
        <v>136</v>
      </c>
      <c r="B48" s="15">
        <v>63979</v>
      </c>
      <c r="C48" s="15">
        <v>0</v>
      </c>
      <c r="D48" s="15">
        <v>66315</v>
      </c>
      <c r="E48" s="15">
        <v>66315</v>
      </c>
      <c r="F48" s="15">
        <v>0</v>
      </c>
      <c r="G48" s="16">
        <f>IF(AND(F68&lt;&gt;0,0&lt;&gt;0),IF(100*0/(F68-0)&lt;0.005,"*",100*0/(F68-0)),0)</f>
        <v>0</v>
      </c>
    </row>
    <row r="49" spans="1:7" x14ac:dyDescent="0.2">
      <c r="A49" s="9" t="s">
        <v>137</v>
      </c>
      <c r="B49" s="15">
        <v>152270</v>
      </c>
      <c r="C49" s="15">
        <v>0</v>
      </c>
      <c r="D49" s="15">
        <v>162631</v>
      </c>
      <c r="E49" s="15">
        <v>162631</v>
      </c>
      <c r="F49" s="15">
        <v>0</v>
      </c>
      <c r="G49" s="16">
        <f>IF(AND(F68&lt;&gt;0,0&lt;&gt;0),IF(100*0/(F68-0)&lt;0.005,"*",100*0/(F68-0)),0)</f>
        <v>0</v>
      </c>
    </row>
    <row r="50" spans="1:7" x14ac:dyDescent="0.2">
      <c r="A50" s="9" t="s">
        <v>138</v>
      </c>
      <c r="B50" s="15">
        <v>25219</v>
      </c>
      <c r="C50" s="15">
        <v>0</v>
      </c>
      <c r="D50" s="15">
        <v>25562</v>
      </c>
      <c r="E50" s="15">
        <v>25562</v>
      </c>
      <c r="F50" s="15">
        <v>0</v>
      </c>
      <c r="G50" s="16">
        <f>IF(AND(F68&lt;&gt;0,0&lt;&gt;0),IF(100*0/(F68-0)&lt;0.005,"*",100*0/(F68-0)),0)</f>
        <v>0</v>
      </c>
    </row>
    <row r="51" spans="1:7" x14ac:dyDescent="0.2">
      <c r="A51" s="9" t="s">
        <v>139</v>
      </c>
      <c r="B51" s="15">
        <v>20376</v>
      </c>
      <c r="C51" s="15">
        <v>0</v>
      </c>
      <c r="D51" s="15">
        <v>20653</v>
      </c>
      <c r="E51" s="15">
        <v>20653</v>
      </c>
      <c r="F51" s="15">
        <v>0</v>
      </c>
      <c r="G51" s="16">
        <f>IF(AND(F68&lt;&gt;0,0&lt;&gt;0),IF(100*0/(F68-0)&lt;0.005,"*",100*0/(F68-0)),0)</f>
        <v>0</v>
      </c>
    </row>
    <row r="52" spans="1:7" x14ac:dyDescent="0.2">
      <c r="A52" s="9" t="s">
        <v>140</v>
      </c>
      <c r="B52" s="15">
        <v>91765</v>
      </c>
      <c r="C52" s="15">
        <v>0</v>
      </c>
      <c r="D52" s="15">
        <v>92221</v>
      </c>
      <c r="E52" s="15">
        <v>92221</v>
      </c>
      <c r="F52" s="15">
        <v>0</v>
      </c>
      <c r="G52" s="16">
        <f>IF(AND(F68&lt;&gt;0,0&lt;&gt;0),IF(100*0/(F68-0)&lt;0.005,"*",100*0/(F68-0)),0)</f>
        <v>0</v>
      </c>
    </row>
    <row r="53" spans="1:7" x14ac:dyDescent="0.2">
      <c r="A53" s="9" t="s">
        <v>141</v>
      </c>
      <c r="B53" s="15">
        <v>58193</v>
      </c>
      <c r="C53" s="15">
        <v>0</v>
      </c>
      <c r="D53" s="15">
        <v>58484</v>
      </c>
      <c r="E53" s="15">
        <v>58484</v>
      </c>
      <c r="F53" s="15">
        <v>0</v>
      </c>
      <c r="G53" s="16">
        <f>IF(AND(F68&lt;&gt;0,0&lt;&gt;0),IF(100*0/(F68-0)&lt;0.005,"*",100*0/(F68-0)),0)</f>
        <v>0</v>
      </c>
    </row>
    <row r="54" spans="1:7" x14ac:dyDescent="0.2">
      <c r="A54" s="9" t="s">
        <v>142</v>
      </c>
      <c r="B54" s="15">
        <v>30987</v>
      </c>
      <c r="C54" s="15">
        <v>0</v>
      </c>
      <c r="D54" s="15">
        <v>31409</v>
      </c>
      <c r="E54" s="15">
        <v>31409</v>
      </c>
      <c r="F54" s="15">
        <v>0</v>
      </c>
      <c r="G54" s="16">
        <f>IF(AND(F68&lt;&gt;0,0&lt;&gt;0),IF(100*0/(F68-0)&lt;0.005,"*",100*0/(F68-0)),0)</f>
        <v>0</v>
      </c>
    </row>
    <row r="55" spans="1:7" x14ac:dyDescent="0.2">
      <c r="A55" s="9" t="s">
        <v>143</v>
      </c>
      <c r="B55" s="15">
        <v>105308</v>
      </c>
      <c r="C55" s="15">
        <v>0</v>
      </c>
      <c r="D55" s="15">
        <v>105734</v>
      </c>
      <c r="E55" s="15">
        <v>105734</v>
      </c>
      <c r="F55" s="15">
        <v>0</v>
      </c>
      <c r="G55" s="16">
        <f>IF(AND(F68&lt;&gt;0,0&lt;&gt;0),IF(100*0/(F68-0)&lt;0.005,"*",100*0/(F68-0)),0)</f>
        <v>0</v>
      </c>
    </row>
    <row r="56" spans="1:7" x14ac:dyDescent="0.2">
      <c r="A56" s="9" t="s">
        <v>144</v>
      </c>
      <c r="B56" s="15">
        <v>9903</v>
      </c>
      <c r="C56" s="15">
        <v>0</v>
      </c>
      <c r="D56" s="15">
        <v>10038</v>
      </c>
      <c r="E56" s="15">
        <v>10038</v>
      </c>
      <c r="F56" s="15">
        <v>0</v>
      </c>
      <c r="G56" s="16">
        <f>IF(AND(F68&lt;&gt;0,0&lt;&gt;0),IF(100*0/(F68-0)&lt;0.005,"*",100*0/(F68-0)),0)</f>
        <v>0</v>
      </c>
    </row>
    <row r="57" spans="1:7" x14ac:dyDescent="0.2">
      <c r="A57" s="9" t="s">
        <v>145</v>
      </c>
      <c r="B57" s="15">
        <v>301</v>
      </c>
      <c r="C57" s="15">
        <v>0</v>
      </c>
      <c r="D57" s="15">
        <v>305</v>
      </c>
      <c r="E57" s="15">
        <v>305</v>
      </c>
      <c r="F57" s="15">
        <v>0</v>
      </c>
      <c r="G57" s="16">
        <f>IF(AND(F68&lt;&gt;0,0&lt;&gt;0),IF(100*0/(F68-0)&lt;0.005,"*",100*0/(F68-0)),0)</f>
        <v>0</v>
      </c>
    </row>
    <row r="58" spans="1:7" x14ac:dyDescent="0.2">
      <c r="A58" s="9" t="s">
        <v>146</v>
      </c>
      <c r="B58" s="15">
        <v>660</v>
      </c>
      <c r="C58" s="15">
        <v>0</v>
      </c>
      <c r="D58" s="15">
        <v>669</v>
      </c>
      <c r="E58" s="15">
        <v>669</v>
      </c>
      <c r="F58" s="15">
        <v>0</v>
      </c>
      <c r="G58" s="16">
        <f>IF(AND(F68&lt;&gt;0,0&lt;&gt;0),IF(100*0/(F68-0)&lt;0.005,"*",100*0/(F68-0)),0)</f>
        <v>0</v>
      </c>
    </row>
    <row r="59" spans="1:7" x14ac:dyDescent="0.2">
      <c r="A59" s="9" t="s">
        <v>147</v>
      </c>
      <c r="B59" s="15">
        <v>229</v>
      </c>
      <c r="C59" s="15">
        <v>0</v>
      </c>
      <c r="D59" s="15">
        <v>232</v>
      </c>
      <c r="E59" s="15">
        <v>232</v>
      </c>
      <c r="F59" s="15">
        <v>0</v>
      </c>
      <c r="G59" s="16">
        <f>IF(AND(F68&lt;&gt;0,0&lt;&gt;0),IF(100*0/(F68-0)&lt;0.005,"*",100*0/(F68-0)),0)</f>
        <v>0</v>
      </c>
    </row>
    <row r="60" spans="1:7" x14ac:dyDescent="0.2">
      <c r="A60" s="9" t="s">
        <v>148</v>
      </c>
      <c r="B60" s="15">
        <v>16376</v>
      </c>
      <c r="C60" s="15">
        <v>0</v>
      </c>
      <c r="D60" s="15">
        <v>16598</v>
      </c>
      <c r="E60" s="15">
        <v>16598</v>
      </c>
      <c r="F60" s="15">
        <v>0</v>
      </c>
      <c r="G60" s="16">
        <f>IF(AND(F68&lt;&gt;0,0&lt;&gt;0),IF(100*0/(F68-0)&lt;0.005,"*",100*0/(F68-0)),0)</f>
        <v>0</v>
      </c>
    </row>
    <row r="61" spans="1:7" x14ac:dyDescent="0.2">
      <c r="A61" s="9" t="s">
        <v>178</v>
      </c>
      <c r="B61" s="15">
        <v>0</v>
      </c>
      <c r="C61" s="15">
        <v>0</v>
      </c>
      <c r="D61" s="15">
        <v>0</v>
      </c>
      <c r="E61" s="15">
        <v>0</v>
      </c>
      <c r="F61" s="15">
        <v>0</v>
      </c>
      <c r="G61" s="16">
        <f>IF(AND(F68&lt;&gt;0,0&lt;&gt;0),IF(100*0/(F68-0)&lt;0.005,"*",100*0/(F68-0)),0)</f>
        <v>0</v>
      </c>
    </row>
    <row r="62" spans="1:7" x14ac:dyDescent="0.2">
      <c r="A62" s="9" t="s">
        <v>150</v>
      </c>
      <c r="B62" s="15">
        <v>624</v>
      </c>
      <c r="C62" s="15">
        <v>0</v>
      </c>
      <c r="D62" s="15">
        <v>632</v>
      </c>
      <c r="E62" s="15">
        <v>632</v>
      </c>
      <c r="F62" s="15">
        <v>0</v>
      </c>
      <c r="G62" s="16">
        <f>IF(AND(F68&lt;&gt;0,0&lt;&gt;0),IF(100*0/(F68-0)&lt;0.005,"*",100*0/(F68-0)),0)</f>
        <v>0</v>
      </c>
    </row>
    <row r="63" spans="1:7" x14ac:dyDescent="0.2">
      <c r="A63" s="9" t="s">
        <v>151</v>
      </c>
      <c r="B63" s="15">
        <v>40095</v>
      </c>
      <c r="C63" s="15">
        <v>0</v>
      </c>
      <c r="D63" s="15">
        <v>41143</v>
      </c>
      <c r="E63" s="15">
        <v>41143</v>
      </c>
      <c r="F63" s="15">
        <v>0</v>
      </c>
      <c r="G63" s="16">
        <f>IF(AND(F68&lt;&gt;0,0&lt;&gt;0),IF(100*0/(F68-0)&lt;0.005,"*",100*0/(F68-0)),0)</f>
        <v>0</v>
      </c>
    </row>
    <row r="64" spans="1:7" x14ac:dyDescent="0.2">
      <c r="A64" s="9" t="s">
        <v>152</v>
      </c>
      <c r="B64" s="15">
        <v>0</v>
      </c>
      <c r="C64" s="15">
        <v>0</v>
      </c>
      <c r="D64" s="15">
        <v>0</v>
      </c>
      <c r="E64" s="15">
        <v>0</v>
      </c>
      <c r="F64" s="15">
        <v>0</v>
      </c>
      <c r="G64" s="16">
        <v>0</v>
      </c>
    </row>
    <row r="65" spans="1:7" x14ac:dyDescent="0.2">
      <c r="A65" s="9" t="s">
        <v>183</v>
      </c>
      <c r="B65" s="15">
        <v>2988</v>
      </c>
      <c r="C65" s="15">
        <v>0</v>
      </c>
      <c r="D65" s="15">
        <v>2988</v>
      </c>
      <c r="E65" s="15">
        <v>2988</v>
      </c>
      <c r="F65" s="15">
        <v>0</v>
      </c>
      <c r="G65" s="16">
        <f>IF(AND(F68&lt;&gt;0,0&lt;&gt;0),IF(100*0/(F68-0)&lt;0.005,"*",100*0/(F68-0)),0)</f>
        <v>0</v>
      </c>
    </row>
    <row r="66" spans="1:7" x14ac:dyDescent="0.2">
      <c r="A66" s="9" t="s">
        <v>81</v>
      </c>
      <c r="B66" s="15">
        <v>0</v>
      </c>
      <c r="C66" s="15">
        <v>0</v>
      </c>
      <c r="D66" s="15">
        <v>0</v>
      </c>
      <c r="E66" s="15">
        <v>0</v>
      </c>
      <c r="F66" s="15">
        <v>0</v>
      </c>
      <c r="G66" s="16">
        <f>IF(AND(F68&lt;&gt;0,0&lt;&gt;0),IF(100*0/(F68-0)&lt;0.005,"*",100*0/(F68-0)),0)</f>
        <v>0</v>
      </c>
    </row>
    <row r="67" spans="1:7" x14ac:dyDescent="0.2">
      <c r="A67" s="9" t="s">
        <v>81</v>
      </c>
      <c r="B67" s="15">
        <v>0</v>
      </c>
      <c r="C67" s="15">
        <v>0</v>
      </c>
      <c r="D67" s="15">
        <v>0</v>
      </c>
      <c r="E67" s="15">
        <v>0</v>
      </c>
      <c r="F67" s="15">
        <v>0</v>
      </c>
      <c r="G67" s="16">
        <f>IF(AND(F68&lt;&gt;0,0&lt;&gt;0),IF(100*0/(F68-0)&lt;0.005,"*",100*0/(F68-0)),0)</f>
        <v>0</v>
      </c>
    </row>
    <row r="68" spans="1:7" ht="15" customHeight="1" x14ac:dyDescent="0.2">
      <c r="A68" s="17" t="s">
        <v>93</v>
      </c>
      <c r="B68" s="18" t="s">
        <v>375</v>
      </c>
      <c r="C68" s="18">
        <f>0+0+0+0+0+0+0+0+0+0+0+0+0+0+0+0+0+0+0+0+0+0+0+0+0+0+0+0+0+0+0+0+0+0+0+0+0+0+0+0+0+0+0+0+0+0+0+0+0+0+0+0+0+0+0+0+0+0+0+0+0+0+0</f>
        <v>0</v>
      </c>
      <c r="D68" s="18">
        <f>54417+11090+28519+30859+206353+54337+76052+13086+11302+97739+77290+5062+20705+173936+77748+55106+36838+55279+51413+38726+79769+137656+166932+117463+32531+81028+21062+31947+14033+27554+125281+20116+375998+97659+21072+156515+38552+36207+208574+23922+45958+19004+66315+162631+25562+20653+92221+58484+31409+105734+10038+305+669+232+16598+0+632+41143+0+2988+0+0+0</f>
        <v>3690304</v>
      </c>
      <c r="E68" s="18">
        <f>SUM(C68:D68)</f>
        <v>3690304</v>
      </c>
      <c r="F68" s="18">
        <f>0+0+0+0+0+0+0+0+0+0+0+0+0+0+0+0+0+0+0+0+0+0+0+0+0+0+0+0+0+0+0+0+0+0+0+0+0+0+0+0+0+0+0+0+0+0+0+0+0+0+0+0+0+0+0+0+0+0+0+0+0+0+0</f>
        <v>0</v>
      </c>
      <c r="G68" s="20" t="s">
        <v>167</v>
      </c>
    </row>
    <row r="69" spans="1:7" ht="19.5" customHeight="1" x14ac:dyDescent="0.2">
      <c r="A69" s="73" t="s">
        <v>374</v>
      </c>
      <c r="B69" s="73"/>
      <c r="C69" s="73"/>
      <c r="D69" s="73"/>
      <c r="E69" s="73"/>
      <c r="F69" s="73"/>
      <c r="G69" s="73"/>
    </row>
  </sheetData>
  <mergeCells count="5">
    <mergeCell ref="A69:G69"/>
    <mergeCell ref="A4:A5"/>
    <mergeCell ref="B4:B5"/>
    <mergeCell ref="F4:F5"/>
    <mergeCell ref="G4:G5"/>
  </mergeCells>
  <pageMargins left="0.7" right="0.7" top="0.75" bottom="0.75" header="0.3" footer="0.3"/>
  <pageSetup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184</v>
      </c>
    </row>
    <row r="2" spans="1:7" x14ac:dyDescent="0.2">
      <c r="A2" s="11" t="s">
        <v>185</v>
      </c>
      <c r="B2" s="12"/>
      <c r="C2" s="12"/>
      <c r="D2" s="12"/>
      <c r="E2" s="12"/>
      <c r="F2" s="12"/>
      <c r="G2" s="12"/>
    </row>
    <row r="3" spans="1:7" x14ac:dyDescent="0.2">
      <c r="A3" s="12" t="s">
        <v>85</v>
      </c>
      <c r="B3" s="12"/>
      <c r="C3" s="12"/>
      <c r="D3" s="12"/>
      <c r="E3" s="12"/>
      <c r="F3" s="12"/>
      <c r="G3" s="12"/>
    </row>
    <row r="4" spans="1:7" x14ac:dyDescent="0.2">
      <c r="A4" s="74" t="s">
        <v>86</v>
      </c>
      <c r="B4" s="76" t="s">
        <v>87</v>
      </c>
      <c r="C4" s="37" t="s">
        <v>88</v>
      </c>
      <c r="D4" s="37"/>
      <c r="E4" s="37"/>
      <c r="F4" s="76" t="s">
        <v>89</v>
      </c>
      <c r="G4" s="78" t="s">
        <v>90</v>
      </c>
    </row>
    <row r="5" spans="1:7" ht="25.5" customHeight="1" x14ac:dyDescent="0.2">
      <c r="A5" s="75"/>
      <c r="B5" s="77"/>
      <c r="C5" s="36" t="s">
        <v>91</v>
      </c>
      <c r="D5" s="36" t="s">
        <v>92</v>
      </c>
      <c r="E5" s="36" t="s">
        <v>93</v>
      </c>
      <c r="F5" s="77"/>
      <c r="G5" s="79"/>
    </row>
    <row r="6" spans="1:7" x14ac:dyDescent="0.2">
      <c r="A6" s="9" t="s">
        <v>94</v>
      </c>
      <c r="B6" s="35">
        <v>93653</v>
      </c>
      <c r="C6" s="35">
        <v>0</v>
      </c>
      <c r="D6" s="35">
        <v>94691</v>
      </c>
      <c r="E6" s="35">
        <v>94691</v>
      </c>
      <c r="F6" s="35">
        <v>94691</v>
      </c>
      <c r="G6" s="33">
        <f>IF(AND(F68&lt;&gt;0,94691&lt;&gt;0),IF(100*94691/(F68-0)&lt;0.005,"*",100*94691/(F68-0)),0)</f>
        <v>1.7947498104624715</v>
      </c>
    </row>
    <row r="7" spans="1:7" x14ac:dyDescent="0.2">
      <c r="A7" s="9" t="s">
        <v>95</v>
      </c>
      <c r="B7" s="35">
        <v>9253</v>
      </c>
      <c r="C7" s="35">
        <v>0</v>
      </c>
      <c r="D7" s="35">
        <v>9355</v>
      </c>
      <c r="E7" s="35">
        <v>9355</v>
      </c>
      <c r="F7" s="35">
        <v>9355</v>
      </c>
      <c r="G7" s="33">
        <f>IF(AND(F68&lt;&gt;0,9355&lt;&gt;0),IF(100*9355/(F68-0)&lt;0.005,"*",100*9355/(F68-0)),0)</f>
        <v>0.17731235784685367</v>
      </c>
    </row>
    <row r="8" spans="1:7" x14ac:dyDescent="0.2">
      <c r="A8" s="9" t="s">
        <v>96</v>
      </c>
      <c r="B8" s="35">
        <v>127028</v>
      </c>
      <c r="C8" s="35">
        <v>0</v>
      </c>
      <c r="D8" s="35">
        <v>128436</v>
      </c>
      <c r="E8" s="35">
        <v>128436</v>
      </c>
      <c r="F8" s="35">
        <v>128436</v>
      </c>
      <c r="G8" s="33">
        <f>IF(AND(F68&lt;&gt;0,128436&lt;&gt;0),IF(100*128436/(F68-0)&lt;0.005,"*",100*128436/(F68-0)),0)</f>
        <v>2.4343442001516302</v>
      </c>
    </row>
    <row r="9" spans="1:7" x14ac:dyDescent="0.2">
      <c r="A9" s="9" t="s">
        <v>97</v>
      </c>
      <c r="B9" s="35">
        <v>59182</v>
      </c>
      <c r="C9" s="35">
        <v>0</v>
      </c>
      <c r="D9" s="35">
        <v>59839</v>
      </c>
      <c r="E9" s="35">
        <v>59839</v>
      </c>
      <c r="F9" s="35">
        <v>59839</v>
      </c>
      <c r="G9" s="33">
        <f>IF(AND(F68&lt;&gt;0,59839&lt;&gt;0),IF(100*59839/(F68-0)&lt;0.005,"*",100*59839/(F68-0)),0)</f>
        <v>1.1341736163760425</v>
      </c>
    </row>
    <row r="10" spans="1:7" x14ac:dyDescent="0.2">
      <c r="A10" s="9" t="s">
        <v>98</v>
      </c>
      <c r="B10" s="35">
        <v>533254</v>
      </c>
      <c r="C10" s="35">
        <v>0</v>
      </c>
      <c r="D10" s="35">
        <v>539166</v>
      </c>
      <c r="E10" s="35">
        <v>539166</v>
      </c>
      <c r="F10" s="35">
        <v>539166</v>
      </c>
      <c r="G10" s="33">
        <f>IF(AND(F68&lt;&gt;0,539166&lt;&gt;0),IF(100*539166/(F68-0)&lt;0.005,"*",100*539166/(F68-0)),0)</f>
        <v>10.219219105382866</v>
      </c>
    </row>
    <row r="11" spans="1:7" x14ac:dyDescent="0.2">
      <c r="A11" s="9" t="s">
        <v>99</v>
      </c>
      <c r="B11" s="35">
        <v>62659</v>
      </c>
      <c r="C11" s="35">
        <v>0</v>
      </c>
      <c r="D11" s="35">
        <v>63353</v>
      </c>
      <c r="E11" s="35">
        <v>63353</v>
      </c>
      <c r="F11" s="35">
        <v>63353</v>
      </c>
      <c r="G11" s="33">
        <f>IF(AND(F68&lt;&gt;0,63353&lt;&gt;0),IF(100*63353/(F68-0)&lt;0.005,"*",100*63353/(F68-0)),0)</f>
        <v>1.2007771038665656</v>
      </c>
    </row>
    <row r="12" spans="1:7" x14ac:dyDescent="0.2">
      <c r="A12" s="9" t="s">
        <v>100</v>
      </c>
      <c r="B12" s="35">
        <v>32539</v>
      </c>
      <c r="C12" s="35">
        <v>0</v>
      </c>
      <c r="D12" s="35">
        <v>32900</v>
      </c>
      <c r="E12" s="35">
        <v>32900</v>
      </c>
      <c r="F12" s="35">
        <v>32900</v>
      </c>
      <c r="G12" s="33">
        <f>IF(AND(F68&lt;&gt;0,32900&lt;&gt;0),IF(100*32900/(F68-0)&lt;0.005,"*",100*32900/(F68-0)),0)</f>
        <v>0.62357846853677024</v>
      </c>
    </row>
    <row r="13" spans="1:7" x14ac:dyDescent="0.2">
      <c r="A13" s="9" t="s">
        <v>101</v>
      </c>
      <c r="B13" s="35">
        <v>13506</v>
      </c>
      <c r="C13" s="35">
        <v>0</v>
      </c>
      <c r="D13" s="35">
        <v>13656</v>
      </c>
      <c r="E13" s="35">
        <v>13656</v>
      </c>
      <c r="F13" s="35">
        <v>13656</v>
      </c>
      <c r="G13" s="33">
        <f>IF(AND(F68&lt;&gt;0,13656&lt;&gt;0),IF(100*13656/(F68-0)&lt;0.005,"*",100*13656/(F68-0)),0)</f>
        <v>0.25883244882486733</v>
      </c>
    </row>
    <row r="14" spans="1:7" x14ac:dyDescent="0.2">
      <c r="A14" s="9" t="s">
        <v>102</v>
      </c>
      <c r="B14" s="35">
        <v>8269</v>
      </c>
      <c r="C14" s="35">
        <v>0</v>
      </c>
      <c r="D14" s="35">
        <v>8361</v>
      </c>
      <c r="E14" s="35">
        <v>8361</v>
      </c>
      <c r="F14" s="35">
        <v>8361</v>
      </c>
      <c r="G14" s="33">
        <f>IF(AND(F68&lt;&gt;0,8361&lt;&gt;0),IF(100*8361/(F68-0)&lt;0.005,"*",100*8361/(F68-0)),0)</f>
        <v>0.15847232752084914</v>
      </c>
    </row>
    <row r="15" spans="1:7" x14ac:dyDescent="0.2">
      <c r="A15" s="9" t="s">
        <v>103</v>
      </c>
      <c r="B15" s="35">
        <v>305215</v>
      </c>
      <c r="C15" s="35">
        <v>0</v>
      </c>
      <c r="D15" s="35">
        <v>308599</v>
      </c>
      <c r="E15" s="35">
        <v>308599</v>
      </c>
      <c r="F15" s="35">
        <v>308599</v>
      </c>
      <c r="G15" s="33">
        <f>IF(AND(F68&lt;&gt;0,308599&lt;&gt;0),IF(100*308599/(F68-0)&lt;0.005,"*",100*308599/(F68-0)),0)</f>
        <v>5.8491091736163758</v>
      </c>
    </row>
    <row r="16" spans="1:7" x14ac:dyDescent="0.2">
      <c r="A16" s="9" t="s">
        <v>104</v>
      </c>
      <c r="B16" s="35">
        <v>210078</v>
      </c>
      <c r="C16" s="35">
        <v>0</v>
      </c>
      <c r="D16" s="35">
        <v>212407</v>
      </c>
      <c r="E16" s="35">
        <v>212407</v>
      </c>
      <c r="F16" s="35">
        <v>212407</v>
      </c>
      <c r="G16" s="33">
        <f>IF(AND(F68&lt;&gt;0,212407&lt;&gt;0),IF(100*212407/(F68-0)&lt;0.005,"*",100*212407/(F68-0)),0)</f>
        <v>4.0259097801364669</v>
      </c>
    </row>
    <row r="17" spans="1:7" x14ac:dyDescent="0.2">
      <c r="A17" s="9" t="s">
        <v>105</v>
      </c>
      <c r="B17" s="35">
        <v>17833</v>
      </c>
      <c r="C17" s="35">
        <v>0</v>
      </c>
      <c r="D17" s="35">
        <v>18031</v>
      </c>
      <c r="E17" s="35">
        <v>18031</v>
      </c>
      <c r="F17" s="35">
        <v>18031</v>
      </c>
      <c r="G17" s="33">
        <f>IF(AND(F68&lt;&gt;0,18031&lt;&gt;0),IF(100*18031/(F68-0)&lt;0.005,"*",100*18031/(F68-0)),0)</f>
        <v>0.34175511751326765</v>
      </c>
    </row>
    <row r="18" spans="1:7" x14ac:dyDescent="0.2">
      <c r="A18" s="9" t="s">
        <v>106</v>
      </c>
      <c r="B18" s="35">
        <v>29794</v>
      </c>
      <c r="C18" s="35">
        <v>0</v>
      </c>
      <c r="D18" s="35">
        <v>30124</v>
      </c>
      <c r="E18" s="35">
        <v>30124</v>
      </c>
      <c r="F18" s="35">
        <v>30124</v>
      </c>
      <c r="G18" s="33">
        <f>IF(AND(F68&lt;&gt;0,30124&lt;&gt;0),IF(100*30124/(F68-0)&lt;0.005,"*",100*30124/(F68-0)),0)</f>
        <v>0.57096285064442764</v>
      </c>
    </row>
    <row r="19" spans="1:7" x14ac:dyDescent="0.2">
      <c r="A19" s="9" t="s">
        <v>107</v>
      </c>
      <c r="B19" s="35">
        <v>172946</v>
      </c>
      <c r="C19" s="35">
        <v>0</v>
      </c>
      <c r="D19" s="35">
        <v>174863</v>
      </c>
      <c r="E19" s="35">
        <v>174863</v>
      </c>
      <c r="F19" s="35">
        <v>174863</v>
      </c>
      <c r="G19" s="33">
        <f>IF(AND(F68&lt;&gt;0,174863&lt;&gt;0),IF(100*174863/(F68-0)&lt;0.005,"*",100*174863/(F68-0)),0)</f>
        <v>3.3143100833965127</v>
      </c>
    </row>
    <row r="20" spans="1:7" x14ac:dyDescent="0.2">
      <c r="A20" s="9" t="s">
        <v>108</v>
      </c>
      <c r="B20" s="35">
        <v>113903</v>
      </c>
      <c r="C20" s="35">
        <v>0</v>
      </c>
      <c r="D20" s="35">
        <v>115166</v>
      </c>
      <c r="E20" s="35">
        <v>115166</v>
      </c>
      <c r="F20" s="35">
        <v>115166</v>
      </c>
      <c r="G20" s="33">
        <f>IF(AND(F68&lt;&gt;0,115166&lt;&gt;0),IF(100*115166/(F68-0)&lt;0.005,"*",100*115166/(F68-0)),0)</f>
        <v>2.182827899924185</v>
      </c>
    </row>
    <row r="21" spans="1:7" x14ac:dyDescent="0.2">
      <c r="A21" s="9" t="s">
        <v>109</v>
      </c>
      <c r="B21" s="35">
        <v>43741</v>
      </c>
      <c r="C21" s="35">
        <v>0</v>
      </c>
      <c r="D21" s="35">
        <v>44226</v>
      </c>
      <c r="E21" s="35">
        <v>44226</v>
      </c>
      <c r="F21" s="35">
        <v>44226</v>
      </c>
      <c r="G21" s="33">
        <f>IF(AND(F68&lt;&gt;0,44226&lt;&gt;0),IF(100*44226/(F68-0)&lt;0.005,"*",100*44226/(F68-0)),0)</f>
        <v>0.83824867323730101</v>
      </c>
    </row>
    <row r="22" spans="1:7" x14ac:dyDescent="0.2">
      <c r="A22" s="9" t="s">
        <v>110</v>
      </c>
      <c r="B22" s="35">
        <v>44984</v>
      </c>
      <c r="C22" s="35">
        <v>0</v>
      </c>
      <c r="D22" s="35">
        <v>45482</v>
      </c>
      <c r="E22" s="35">
        <v>45482</v>
      </c>
      <c r="F22" s="35">
        <v>45482</v>
      </c>
      <c r="G22" s="33">
        <f>IF(AND(F68&lt;&gt;0,45482&lt;&gt;0),IF(100*45482/(F68-0)&lt;0.005,"*",100*45482/(F68-0)),0)</f>
        <v>0.86205458680818803</v>
      </c>
    </row>
    <row r="23" spans="1:7" x14ac:dyDescent="0.2">
      <c r="A23" s="9" t="s">
        <v>111</v>
      </c>
      <c r="B23" s="35">
        <v>94217</v>
      </c>
      <c r="C23" s="35">
        <v>0</v>
      </c>
      <c r="D23" s="35">
        <v>95262</v>
      </c>
      <c r="E23" s="35">
        <v>95262</v>
      </c>
      <c r="F23" s="35">
        <v>95262</v>
      </c>
      <c r="G23" s="33">
        <f>IF(AND(F68&lt;&gt;0,95262&lt;&gt;0),IF(100*95262/(F68-0)&lt;0.005,"*",100*95262/(F68-0)),0)</f>
        <v>1.8055724033358604</v>
      </c>
    </row>
    <row r="24" spans="1:7" x14ac:dyDescent="0.2">
      <c r="A24" s="9" t="s">
        <v>112</v>
      </c>
      <c r="B24" s="35">
        <v>90419</v>
      </c>
      <c r="C24" s="35">
        <v>0</v>
      </c>
      <c r="D24" s="35">
        <v>91422</v>
      </c>
      <c r="E24" s="35">
        <v>91422</v>
      </c>
      <c r="F24" s="35">
        <v>91422</v>
      </c>
      <c r="G24" s="33">
        <f>IF(AND(F68&lt;&gt;0,91422&lt;&gt;0),IF(100*91422/(F68-0)&lt;0.005,"*",100*91422/(F68-0)),0)</f>
        <v>1.7327899924184988</v>
      </c>
    </row>
    <row r="25" spans="1:7" x14ac:dyDescent="0.2">
      <c r="A25" s="9" t="s">
        <v>113</v>
      </c>
      <c r="B25" s="35">
        <v>16030</v>
      </c>
      <c r="C25" s="35">
        <v>0</v>
      </c>
      <c r="D25" s="35">
        <v>16208</v>
      </c>
      <c r="E25" s="35">
        <v>16208</v>
      </c>
      <c r="F25" s="35">
        <v>16208</v>
      </c>
      <c r="G25" s="33">
        <f>IF(AND(F68&lt;&gt;0,16208&lt;&gt;0),IF(100*16208/(F68-0)&lt;0.005,"*",100*16208/(F68-0)),0)</f>
        <v>0.30720242608036391</v>
      </c>
    </row>
    <row r="26" spans="1:7" x14ac:dyDescent="0.2">
      <c r="A26" s="9" t="s">
        <v>114</v>
      </c>
      <c r="B26" s="35">
        <v>64638</v>
      </c>
      <c r="C26" s="35">
        <v>0</v>
      </c>
      <c r="D26" s="35">
        <v>65354</v>
      </c>
      <c r="E26" s="35">
        <v>65354</v>
      </c>
      <c r="F26" s="35">
        <v>65354</v>
      </c>
      <c r="G26" s="33">
        <f>IF(AND(F68&lt;&gt;0,65354&lt;&gt;0),IF(100*65354/(F68-0)&lt;0.005,"*",100*65354/(F68-0)),0)</f>
        <v>1.2387035633055345</v>
      </c>
    </row>
    <row r="27" spans="1:7" x14ac:dyDescent="0.2">
      <c r="A27" s="9" t="s">
        <v>115</v>
      </c>
      <c r="B27" s="35">
        <v>64000</v>
      </c>
      <c r="C27" s="35">
        <v>0</v>
      </c>
      <c r="D27" s="35">
        <v>64710</v>
      </c>
      <c r="E27" s="35">
        <v>64710</v>
      </c>
      <c r="F27" s="35">
        <v>64710</v>
      </c>
      <c r="G27" s="33">
        <f>IF(AND(F68&lt;&gt;0,64710&lt;&gt;0),IF(100*64710/(F68-0)&lt;0.005,"*",100*64710/(F68-0)),0)</f>
        <v>1.2264973464746021</v>
      </c>
    </row>
    <row r="28" spans="1:7" x14ac:dyDescent="0.2">
      <c r="A28" s="9" t="s">
        <v>116</v>
      </c>
      <c r="B28" s="35">
        <v>146977</v>
      </c>
      <c r="C28" s="35">
        <v>0</v>
      </c>
      <c r="D28" s="35">
        <v>148607</v>
      </c>
      <c r="E28" s="35">
        <v>148607</v>
      </c>
      <c r="F28" s="35">
        <v>148607</v>
      </c>
      <c r="G28" s="33">
        <f>IF(AND(F68&lt;&gt;0,148607&lt;&gt;0),IF(100*148607/(F68-0)&lt;0.005,"*",100*148607/(F68-0)),0)</f>
        <v>2.8166603487490525</v>
      </c>
    </row>
    <row r="29" spans="1:7" x14ac:dyDescent="0.2">
      <c r="A29" s="9" t="s">
        <v>117</v>
      </c>
      <c r="B29" s="35">
        <v>68136</v>
      </c>
      <c r="C29" s="35">
        <v>0</v>
      </c>
      <c r="D29" s="35">
        <v>68891</v>
      </c>
      <c r="E29" s="35">
        <v>68891</v>
      </c>
      <c r="F29" s="35">
        <v>68891</v>
      </c>
      <c r="G29" s="33">
        <f>IF(AND(F68&lt;&gt;0,68891&lt;&gt;0),IF(100*68891/(F68-0)&lt;0.005,"*",100*68891/(F68-0)),0)</f>
        <v>1.3057429871114481</v>
      </c>
    </row>
    <row r="30" spans="1:7" x14ac:dyDescent="0.2">
      <c r="A30" s="9" t="s">
        <v>118</v>
      </c>
      <c r="B30" s="35">
        <v>68985</v>
      </c>
      <c r="C30" s="35">
        <v>0</v>
      </c>
      <c r="D30" s="35">
        <v>69750</v>
      </c>
      <c r="E30" s="35">
        <v>69750</v>
      </c>
      <c r="F30" s="35">
        <v>69750</v>
      </c>
      <c r="G30" s="33">
        <f>IF(AND(F68&lt;&gt;0,69750&lt;&gt;0),IF(100*69750/(F68-0)&lt;0.005,"*",100*69750/(F68-0)),0)</f>
        <v>1.3220242608036392</v>
      </c>
    </row>
    <row r="31" spans="1:7" x14ac:dyDescent="0.2">
      <c r="A31" s="9" t="s">
        <v>119</v>
      </c>
      <c r="B31" s="35">
        <v>94586</v>
      </c>
      <c r="C31" s="35">
        <v>0</v>
      </c>
      <c r="D31" s="35">
        <v>95635</v>
      </c>
      <c r="E31" s="35">
        <v>95635</v>
      </c>
      <c r="F31" s="35">
        <v>95635</v>
      </c>
      <c r="G31" s="33">
        <f>IF(AND(F68&lt;&gt;0,95635&lt;&gt;0),IF(100*95635/(F68-0)&lt;0.005,"*",100*95635/(F68-0)),0)</f>
        <v>1.812642153146323</v>
      </c>
    </row>
    <row r="32" spans="1:7" x14ac:dyDescent="0.2">
      <c r="A32" s="9" t="s">
        <v>120</v>
      </c>
      <c r="B32" s="35">
        <v>14599</v>
      </c>
      <c r="C32" s="35">
        <v>0</v>
      </c>
      <c r="D32" s="35">
        <v>14761</v>
      </c>
      <c r="E32" s="35">
        <v>14761</v>
      </c>
      <c r="F32" s="35">
        <v>14761</v>
      </c>
      <c r="G32" s="33">
        <f>IF(AND(F68&lt;&gt;0,14761&lt;&gt;0),IF(100*14761/(F68-0)&lt;0.005,"*",100*14761/(F68-0)),0)</f>
        <v>0.27977634571645188</v>
      </c>
    </row>
    <row r="33" spans="1:7" x14ac:dyDescent="0.2">
      <c r="A33" s="9" t="s">
        <v>121</v>
      </c>
      <c r="B33" s="35">
        <v>27925</v>
      </c>
      <c r="C33" s="35">
        <v>0</v>
      </c>
      <c r="D33" s="35">
        <v>28234</v>
      </c>
      <c r="E33" s="35">
        <v>28234</v>
      </c>
      <c r="F33" s="35">
        <v>28234</v>
      </c>
      <c r="G33" s="33">
        <f>IF(AND(F68&lt;&gt;0,28234&lt;&gt;0),IF(100*28234/(F68-0)&lt;0.005,"*",100*28234/(F68-0)),0)</f>
        <v>0.53514025777103869</v>
      </c>
    </row>
    <row r="34" spans="1:7" x14ac:dyDescent="0.2">
      <c r="A34" s="9" t="s">
        <v>122</v>
      </c>
      <c r="B34" s="35">
        <v>47048</v>
      </c>
      <c r="C34" s="35">
        <v>0</v>
      </c>
      <c r="D34" s="35">
        <v>47570</v>
      </c>
      <c r="E34" s="35">
        <v>47570</v>
      </c>
      <c r="F34" s="35">
        <v>47570</v>
      </c>
      <c r="G34" s="33">
        <f>IF(AND(F68&lt;&gt;0,47570&lt;&gt;0),IF(100*47570/(F68-0)&lt;0.005,"*",100*47570/(F68-0)),0)</f>
        <v>0.90163002274450343</v>
      </c>
    </row>
    <row r="35" spans="1:7" x14ac:dyDescent="0.2">
      <c r="A35" s="9" t="s">
        <v>123</v>
      </c>
      <c r="B35" s="35">
        <v>10345</v>
      </c>
      <c r="C35" s="35">
        <v>0</v>
      </c>
      <c r="D35" s="35">
        <v>10459</v>
      </c>
      <c r="E35" s="35">
        <v>10459</v>
      </c>
      <c r="F35" s="35">
        <v>10459</v>
      </c>
      <c r="G35" s="33">
        <f>IF(AND(F68&lt;&gt;0,10459&lt;&gt;0),IF(100*10459/(F68-0)&lt;0.005,"*",100*10459/(F68-0)),0)</f>
        <v>0.19823730098559514</v>
      </c>
    </row>
    <row r="36" spans="1:7" x14ac:dyDescent="0.2">
      <c r="A36" s="9" t="s">
        <v>124</v>
      </c>
      <c r="B36" s="35">
        <v>89707</v>
      </c>
      <c r="C36" s="35">
        <v>0</v>
      </c>
      <c r="D36" s="35">
        <v>90702</v>
      </c>
      <c r="E36" s="35">
        <v>90702</v>
      </c>
      <c r="F36" s="35">
        <v>90702</v>
      </c>
      <c r="G36" s="33">
        <f>IF(AND(F68&lt;&gt;0,90702&lt;&gt;0),IF(100*90702/(F68-0)&lt;0.005,"*",100*90702/(F68-0)),0)</f>
        <v>1.7191432903714936</v>
      </c>
    </row>
    <row r="37" spans="1:7" x14ac:dyDescent="0.2">
      <c r="A37" s="9" t="s">
        <v>125</v>
      </c>
      <c r="B37" s="35">
        <v>42666</v>
      </c>
      <c r="C37" s="35">
        <v>0</v>
      </c>
      <c r="D37" s="35">
        <v>43139</v>
      </c>
      <c r="E37" s="35">
        <v>43139</v>
      </c>
      <c r="F37" s="35">
        <v>43139</v>
      </c>
      <c r="G37" s="33">
        <f>IF(AND(F68&lt;&gt;0,43139&lt;&gt;0),IF(100*43139/(F68-0)&lt;0.005,"*",100*43139/(F68-0)),0)</f>
        <v>0.8176459438968916</v>
      </c>
    </row>
    <row r="38" spans="1:7" x14ac:dyDescent="0.2">
      <c r="A38" s="9" t="s">
        <v>126</v>
      </c>
      <c r="B38" s="35">
        <v>224600</v>
      </c>
      <c r="C38" s="35">
        <v>0</v>
      </c>
      <c r="D38" s="35">
        <v>227091</v>
      </c>
      <c r="E38" s="35">
        <v>227091</v>
      </c>
      <c r="F38" s="35">
        <v>227091</v>
      </c>
      <c r="G38" s="33">
        <f>IF(AND(F68&lt;&gt;0,227091&lt;&gt;0),IF(100*227091/(F68-0)&lt;0.005,"*",100*227091/(F68-0)),0)</f>
        <v>4.3042266868840029</v>
      </c>
    </row>
    <row r="39" spans="1:7" x14ac:dyDescent="0.2">
      <c r="A39" s="9" t="s">
        <v>127</v>
      </c>
      <c r="B39" s="35">
        <v>170412</v>
      </c>
      <c r="C39" s="35">
        <v>0</v>
      </c>
      <c r="D39" s="35">
        <v>172302</v>
      </c>
      <c r="E39" s="35">
        <v>172302</v>
      </c>
      <c r="F39" s="35">
        <v>172302</v>
      </c>
      <c r="G39" s="33">
        <f>IF(AND(F68&lt;&gt;0,172302&lt;&gt;0),IF(100*172302/(F68-0)&lt;0.005,"*",100*172302/(F68-0)),0)</f>
        <v>3.2657695223654284</v>
      </c>
    </row>
    <row r="40" spans="1:7" x14ac:dyDescent="0.2">
      <c r="A40" s="9" t="s">
        <v>128</v>
      </c>
      <c r="B40" s="35">
        <v>8139</v>
      </c>
      <c r="C40" s="35">
        <v>0</v>
      </c>
      <c r="D40" s="35">
        <v>8230</v>
      </c>
      <c r="E40" s="35">
        <v>8230</v>
      </c>
      <c r="F40" s="35">
        <v>8230</v>
      </c>
      <c r="G40" s="33">
        <f>IF(AND(F68&lt;&gt;0,8230&lt;&gt;0),IF(100*8230/(F68-0)&lt;0.005,"*",100*8230/(F68-0)),0)</f>
        <v>0.15598938589840788</v>
      </c>
    </row>
    <row r="41" spans="1:7" x14ac:dyDescent="0.2">
      <c r="A41" s="9" t="s">
        <v>129</v>
      </c>
      <c r="B41" s="35">
        <v>168965</v>
      </c>
      <c r="C41" s="35">
        <v>0</v>
      </c>
      <c r="D41" s="35">
        <v>170839</v>
      </c>
      <c r="E41" s="35">
        <v>170839</v>
      </c>
      <c r="F41" s="35">
        <v>170839</v>
      </c>
      <c r="G41" s="33">
        <f>IF(AND(F68&lt;&gt;0,170839&lt;&gt;0),IF(100*170839/(F68-0)&lt;0.005,"*",100*170839/(F68-0)),0)</f>
        <v>3.2380401819560274</v>
      </c>
    </row>
    <row r="42" spans="1:7" x14ac:dyDescent="0.2">
      <c r="A42" s="9" t="s">
        <v>130</v>
      </c>
      <c r="B42" s="35">
        <v>70890</v>
      </c>
      <c r="C42" s="35">
        <v>0</v>
      </c>
      <c r="D42" s="35">
        <v>71677</v>
      </c>
      <c r="E42" s="35">
        <v>71677</v>
      </c>
      <c r="F42" s="35">
        <v>71677</v>
      </c>
      <c r="G42" s="33">
        <f>IF(AND(F68&lt;&gt;0,71677&lt;&gt;0),IF(100*71677/(F68-0)&lt;0.005,"*",100*71677/(F68-0)),0)</f>
        <v>1.3585481425322214</v>
      </c>
    </row>
    <row r="43" spans="1:7" x14ac:dyDescent="0.2">
      <c r="A43" s="9" t="s">
        <v>131</v>
      </c>
      <c r="B43" s="35">
        <v>58378</v>
      </c>
      <c r="C43" s="35">
        <v>0</v>
      </c>
      <c r="D43" s="35">
        <v>59025</v>
      </c>
      <c r="E43" s="35">
        <v>59025</v>
      </c>
      <c r="F43" s="35">
        <v>59025</v>
      </c>
      <c r="G43" s="33">
        <f>IF(AND(F68&lt;&gt;0,59025&lt;&gt;0),IF(100*59025/(F68-0)&lt;0.005,"*",100*59025/(F68-0)),0)</f>
        <v>1.1187452615617892</v>
      </c>
    </row>
    <row r="44" spans="1:7" x14ac:dyDescent="0.2">
      <c r="A44" s="9" t="s">
        <v>132</v>
      </c>
      <c r="B44" s="35">
        <v>150325</v>
      </c>
      <c r="C44" s="35">
        <v>0</v>
      </c>
      <c r="D44" s="35">
        <v>151991</v>
      </c>
      <c r="E44" s="35">
        <v>151991</v>
      </c>
      <c r="F44" s="35">
        <v>151991</v>
      </c>
      <c r="G44" s="33">
        <f>IF(AND(F68&lt;&gt;0,151991&lt;&gt;0),IF(100*151991/(F68-0)&lt;0.005,"*",100*151991/(F68-0)),0)</f>
        <v>2.880799848369977</v>
      </c>
    </row>
    <row r="45" spans="1:7" x14ac:dyDescent="0.2">
      <c r="A45" s="9" t="s">
        <v>133</v>
      </c>
      <c r="B45" s="35">
        <v>11735</v>
      </c>
      <c r="C45" s="35">
        <v>0</v>
      </c>
      <c r="D45" s="35">
        <v>11866</v>
      </c>
      <c r="E45" s="35">
        <v>11866</v>
      </c>
      <c r="F45" s="35">
        <v>11866</v>
      </c>
      <c r="G45" s="33">
        <f>IF(AND(F68&lt;&gt;0,11866&lt;&gt;0),IF(100*11866/(F68-0)&lt;0.005,"*",100*11866/(F68-0)),0)</f>
        <v>0.22490523123578468</v>
      </c>
    </row>
    <row r="46" spans="1:7" x14ac:dyDescent="0.2">
      <c r="A46" s="9" t="s">
        <v>134</v>
      </c>
      <c r="B46" s="35">
        <v>90489</v>
      </c>
      <c r="C46" s="35">
        <v>0</v>
      </c>
      <c r="D46" s="35">
        <v>91493</v>
      </c>
      <c r="E46" s="35">
        <v>91493</v>
      </c>
      <c r="F46" s="35">
        <v>91493</v>
      </c>
      <c r="G46" s="33">
        <f>IF(AND(F68&lt;&gt;0,91493&lt;&gt;0),IF(100*91493/(F68-0)&lt;0.005,"*",100*91493/(F68-0)),0)</f>
        <v>1.7341357088703564</v>
      </c>
    </row>
    <row r="47" spans="1:7" x14ac:dyDescent="0.2">
      <c r="A47" s="9" t="s">
        <v>135</v>
      </c>
      <c r="B47" s="35">
        <v>12775</v>
      </c>
      <c r="C47" s="35">
        <v>0</v>
      </c>
      <c r="D47" s="35">
        <v>12917</v>
      </c>
      <c r="E47" s="35">
        <v>12917</v>
      </c>
      <c r="F47" s="35">
        <v>12917</v>
      </c>
      <c r="G47" s="33">
        <f>IF(AND(F68&lt;&gt;0,12917&lt;&gt;0),IF(100*12917/(F68-0)&lt;0.005,"*",100*12917/(F68-0)),0)</f>
        <v>0.24482562547384382</v>
      </c>
    </row>
    <row r="48" spans="1:7" x14ac:dyDescent="0.2">
      <c r="A48" s="9" t="s">
        <v>136</v>
      </c>
      <c r="B48" s="35">
        <v>118502</v>
      </c>
      <c r="C48" s="35">
        <v>0</v>
      </c>
      <c r="D48" s="35">
        <v>119816</v>
      </c>
      <c r="E48" s="35">
        <v>119816</v>
      </c>
      <c r="F48" s="35">
        <v>119816</v>
      </c>
      <c r="G48" s="33">
        <f>IF(AND(F68&lt;&gt;0,119816&lt;&gt;0),IF(100*119816/(F68-0)&lt;0.005,"*",100*119816/(F68-0)),0)</f>
        <v>2.2709628506444277</v>
      </c>
    </row>
    <row r="49" spans="1:7" x14ac:dyDescent="0.2">
      <c r="A49" s="9" t="s">
        <v>137</v>
      </c>
      <c r="B49" s="35">
        <v>521274</v>
      </c>
      <c r="C49" s="35">
        <v>0</v>
      </c>
      <c r="D49" s="35">
        <v>527053</v>
      </c>
      <c r="E49" s="35">
        <v>527053</v>
      </c>
      <c r="F49" s="35">
        <v>527053</v>
      </c>
      <c r="G49" s="33">
        <f>IF(AND(F68&lt;&gt;0,527053&lt;&gt;0),IF(100*527053/(F68-0)&lt;0.005,"*",100*527053/(F68-0)),0)</f>
        <v>9.989632297194845</v>
      </c>
    </row>
    <row r="50" spans="1:7" x14ac:dyDescent="0.2">
      <c r="A50" s="9" t="s">
        <v>138</v>
      </c>
      <c r="B50" s="35">
        <v>58599</v>
      </c>
      <c r="C50" s="35">
        <v>0</v>
      </c>
      <c r="D50" s="35">
        <v>59249</v>
      </c>
      <c r="E50" s="35">
        <v>59249</v>
      </c>
      <c r="F50" s="35">
        <v>59249</v>
      </c>
      <c r="G50" s="33">
        <f>IF(AND(F68&lt;&gt;0,59249&lt;&gt;0),IF(100*59249/(F68-0)&lt;0.005,"*",100*59249/(F68-0)),0)</f>
        <v>1.1229909021986353</v>
      </c>
    </row>
    <row r="51" spans="1:7" x14ac:dyDescent="0.2">
      <c r="A51" s="9" t="s">
        <v>139</v>
      </c>
      <c r="B51" s="35">
        <v>6554</v>
      </c>
      <c r="C51" s="35">
        <v>0</v>
      </c>
      <c r="D51" s="35">
        <v>6627</v>
      </c>
      <c r="E51" s="35">
        <v>6627</v>
      </c>
      <c r="F51" s="35">
        <v>6627</v>
      </c>
      <c r="G51" s="33">
        <f>IF(AND(F68&lt;&gt;0,6627&lt;&gt;0),IF(100*6627/(F68-0)&lt;0.005,"*",100*6627/(F68-0)),0)</f>
        <v>0.125606520090978</v>
      </c>
    </row>
    <row r="52" spans="1:7" x14ac:dyDescent="0.2">
      <c r="A52" s="9" t="s">
        <v>140</v>
      </c>
      <c r="B52" s="35">
        <v>97681</v>
      </c>
      <c r="C52" s="35">
        <v>0</v>
      </c>
      <c r="D52" s="35">
        <v>98764</v>
      </c>
      <c r="E52" s="35">
        <v>98764</v>
      </c>
      <c r="F52" s="35">
        <v>98764</v>
      </c>
      <c r="G52" s="33">
        <f>IF(AND(F68&lt;&gt;0,98764&lt;&gt;0),IF(100*98764/(F68-0)&lt;0.005,"*",100*98764/(F68-0)),0)</f>
        <v>1.8719484457922668</v>
      </c>
    </row>
    <row r="53" spans="1:7" x14ac:dyDescent="0.2">
      <c r="A53" s="9" t="s">
        <v>141</v>
      </c>
      <c r="B53" s="35">
        <v>86884</v>
      </c>
      <c r="C53" s="35">
        <v>0</v>
      </c>
      <c r="D53" s="35">
        <v>87848</v>
      </c>
      <c r="E53" s="35">
        <v>87848</v>
      </c>
      <c r="F53" s="35">
        <v>87848</v>
      </c>
      <c r="G53" s="33">
        <f>IF(AND(F68&lt;&gt;0,87848&lt;&gt;0),IF(100*87848/(F68-0)&lt;0.005,"*",100*87848/(F68-0)),0)</f>
        <v>1.6650492797573919</v>
      </c>
    </row>
    <row r="54" spans="1:7" x14ac:dyDescent="0.2">
      <c r="A54" s="9" t="s">
        <v>142</v>
      </c>
      <c r="B54" s="35">
        <v>31980</v>
      </c>
      <c r="C54" s="35">
        <v>0</v>
      </c>
      <c r="D54" s="35">
        <v>32335</v>
      </c>
      <c r="E54" s="35">
        <v>32335</v>
      </c>
      <c r="F54" s="35">
        <v>32335</v>
      </c>
      <c r="G54" s="33">
        <f>IF(AND(F68&lt;&gt;0,32335&lt;&gt;0),IF(100*32335/(F68-0)&lt;0.005,"*",100*32335/(F68-0)),0)</f>
        <v>0.61286959818043973</v>
      </c>
    </row>
    <row r="55" spans="1:7" x14ac:dyDescent="0.2">
      <c r="A55" s="9" t="s">
        <v>143</v>
      </c>
      <c r="B55" s="35">
        <v>74641</v>
      </c>
      <c r="C55" s="35">
        <v>0</v>
      </c>
      <c r="D55" s="35">
        <v>75469</v>
      </c>
      <c r="E55" s="35">
        <v>75469</v>
      </c>
      <c r="F55" s="35">
        <v>75469</v>
      </c>
      <c r="G55" s="33">
        <f>IF(AND(F68&lt;&gt;0,75469&lt;&gt;0),IF(100*75469/(F68-0)&lt;0.005,"*",100*75469/(F68-0)),0)</f>
        <v>1.430420773313116</v>
      </c>
    </row>
    <row r="56" spans="1:7" x14ac:dyDescent="0.2">
      <c r="A56" s="9" t="s">
        <v>144</v>
      </c>
      <c r="B56" s="35">
        <v>6259</v>
      </c>
      <c r="C56" s="35">
        <v>0</v>
      </c>
      <c r="D56" s="35">
        <v>6329</v>
      </c>
      <c r="E56" s="35">
        <v>6329</v>
      </c>
      <c r="F56" s="35">
        <v>6329</v>
      </c>
      <c r="G56" s="33">
        <f>IF(AND(F68&lt;&gt;0,6329&lt;&gt;0),IF(100*6329/(F68-0)&lt;0.005,"*",100*6329/(F68-0)),0)</f>
        <v>0.11995830174374526</v>
      </c>
    </row>
    <row r="57" spans="1:7" x14ac:dyDescent="0.2">
      <c r="A57" s="9" t="s">
        <v>145</v>
      </c>
      <c r="B57" s="35">
        <v>6835</v>
      </c>
      <c r="C57" s="35">
        <v>0</v>
      </c>
      <c r="D57" s="35">
        <v>6901</v>
      </c>
      <c r="E57" s="35">
        <v>6901</v>
      </c>
      <c r="F57" s="35">
        <v>6901</v>
      </c>
      <c r="G57" s="33">
        <f>IF(AND(F68&lt;&gt;0,6901&lt;&gt;0),IF(100*6901/(F68-0)&lt;0.005,"*",100*6901/(F68-0)),0)</f>
        <v>0.13079984836997727</v>
      </c>
    </row>
    <row r="58" spans="1:7" x14ac:dyDescent="0.2">
      <c r="A58" s="9" t="s">
        <v>146</v>
      </c>
      <c r="B58" s="35">
        <v>9849</v>
      </c>
      <c r="C58" s="35">
        <v>0</v>
      </c>
      <c r="D58" s="35">
        <v>9943</v>
      </c>
      <c r="E58" s="35">
        <v>9943</v>
      </c>
      <c r="F58" s="35">
        <v>9943</v>
      </c>
      <c r="G58" s="33">
        <f>IF(AND(F68&lt;&gt;0,9943&lt;&gt;0),IF(100*9943/(F68-0)&lt;0.005,"*",100*9943/(F68-0)),0)</f>
        <v>0.18845716451857467</v>
      </c>
    </row>
    <row r="59" spans="1:7" x14ac:dyDescent="0.2">
      <c r="A59" s="9" t="s">
        <v>147</v>
      </c>
      <c r="B59" s="35">
        <v>4276</v>
      </c>
      <c r="C59" s="35">
        <v>0</v>
      </c>
      <c r="D59" s="35">
        <v>4317</v>
      </c>
      <c r="E59" s="35">
        <v>4317</v>
      </c>
      <c r="F59" s="35">
        <v>4317</v>
      </c>
      <c r="G59" s="33">
        <f>IF(AND(F68&lt;&gt;0,4317&lt;&gt;0),IF(100*4317/(F68-0)&lt;0.005,"*",100*4317/(F68-0)),0)</f>
        <v>8.1823351023502647E-2</v>
      </c>
    </row>
    <row r="60" spans="1:7" x14ac:dyDescent="0.2">
      <c r="A60" s="9" t="s">
        <v>148</v>
      </c>
      <c r="B60" s="35">
        <v>52626</v>
      </c>
      <c r="C60" s="35">
        <v>0</v>
      </c>
      <c r="D60" s="35">
        <v>53210</v>
      </c>
      <c r="E60" s="35">
        <v>53210</v>
      </c>
      <c r="F60" s="35">
        <v>53210</v>
      </c>
      <c r="G60" s="33">
        <f>IF(AND(F68&lt;&gt;0,53210&lt;&gt;0),IF(100*53210/(F68-0)&lt;0.005,"*",100*53210/(F68-0)),0)</f>
        <v>1.0085291887793784</v>
      </c>
    </row>
    <row r="61" spans="1:7" x14ac:dyDescent="0.2">
      <c r="A61" s="9" t="s">
        <v>149</v>
      </c>
      <c r="B61" s="35">
        <v>0</v>
      </c>
      <c r="C61" s="35">
        <v>0</v>
      </c>
      <c r="D61" s="35">
        <v>0</v>
      </c>
      <c r="E61" s="35">
        <v>0</v>
      </c>
      <c r="F61" s="35">
        <v>0</v>
      </c>
      <c r="G61" s="33">
        <f>IF(AND(F68&lt;&gt;0,0&lt;&gt;0),IF(100*0/(F68-0)&lt;0.005,"*",100*0/(F68-0)),0)</f>
        <v>0</v>
      </c>
    </row>
    <row r="62" spans="1:7" x14ac:dyDescent="0.2">
      <c r="A62" s="9" t="s">
        <v>150</v>
      </c>
      <c r="B62" s="35">
        <v>5170</v>
      </c>
      <c r="C62" s="35">
        <v>0</v>
      </c>
      <c r="D62" s="35">
        <v>5219</v>
      </c>
      <c r="E62" s="35">
        <v>5219</v>
      </c>
      <c r="F62" s="35">
        <v>5219</v>
      </c>
      <c r="G62" s="33">
        <f>IF(AND(F68&lt;&gt;0,5219&lt;&gt;0),IF(100*5219/(F68-0)&lt;0.005,"*",100*5219/(F68-0)),0)</f>
        <v>9.891963608794542E-2</v>
      </c>
    </row>
    <row r="63" spans="1:7" x14ac:dyDescent="0.2">
      <c r="A63" s="9" t="s">
        <v>151</v>
      </c>
      <c r="B63" s="35">
        <v>300495</v>
      </c>
      <c r="C63" s="35">
        <v>0</v>
      </c>
      <c r="D63" s="35">
        <v>301870</v>
      </c>
      <c r="E63" s="35">
        <v>301870</v>
      </c>
      <c r="F63" s="35">
        <v>301870</v>
      </c>
      <c r="G63" s="33">
        <f>IF(AND(F68&lt;&gt;0,301870&lt;&gt;0),IF(100*301870/(F68-0)&lt;0.005,"*",100*301870/(F68-0)),0)</f>
        <v>5.7215693707354056</v>
      </c>
    </row>
    <row r="64" spans="1:7" x14ac:dyDescent="0.2">
      <c r="A64" s="9" t="s">
        <v>152</v>
      </c>
      <c r="B64" s="35">
        <v>0</v>
      </c>
      <c r="C64" s="35">
        <v>0</v>
      </c>
      <c r="D64" s="35">
        <v>0</v>
      </c>
      <c r="E64" s="35">
        <v>0</v>
      </c>
      <c r="F64" s="35">
        <v>0</v>
      </c>
      <c r="G64" s="33">
        <v>0</v>
      </c>
    </row>
    <row r="65" spans="1:7" x14ac:dyDescent="0.2">
      <c r="A65" s="9" t="s">
        <v>183</v>
      </c>
      <c r="B65" s="35">
        <v>25823</v>
      </c>
      <c r="C65" s="35">
        <v>0</v>
      </c>
      <c r="D65" s="35">
        <v>26380</v>
      </c>
      <c r="E65" s="35">
        <v>26380</v>
      </c>
      <c r="F65" s="35">
        <v>26380</v>
      </c>
      <c r="G65" s="33">
        <f>IF(AND(F68&lt;&gt;0,26380&lt;&gt;0),IF(100*26380/(F68-0)&lt;0.005,"*",100*26380/(F68-0)),0)</f>
        <v>0.5</v>
      </c>
    </row>
    <row r="66" spans="1:7" x14ac:dyDescent="0.2">
      <c r="A66" s="9" t="s">
        <v>186</v>
      </c>
      <c r="B66" s="35">
        <v>1325</v>
      </c>
      <c r="C66" s="35">
        <v>0</v>
      </c>
      <c r="D66" s="35">
        <v>1500</v>
      </c>
      <c r="E66" s="35">
        <v>1500</v>
      </c>
      <c r="F66" s="35">
        <v>1500</v>
      </c>
      <c r="G66" s="33">
        <f>IF(AND(F68&lt;&gt;0,1500&lt;&gt;0),IF(100*1500/(F68-0)&lt;0.005,"*",100*1500/(F68-0)),0)</f>
        <v>2.843062926459439E-2</v>
      </c>
    </row>
    <row r="67" spans="1:7" x14ac:dyDescent="0.2">
      <c r="A67" s="9" t="s">
        <v>173</v>
      </c>
      <c r="B67" s="35">
        <v>18994</v>
      </c>
      <c r="C67" s="35">
        <v>0</v>
      </c>
      <c r="D67" s="35">
        <v>26380</v>
      </c>
      <c r="E67" s="35">
        <v>26380</v>
      </c>
      <c r="F67" s="35">
        <v>26380</v>
      </c>
      <c r="G67" s="33">
        <f>IF(AND(F68&lt;&gt;0,26380&lt;&gt;0),IF(100*26380/(F68-0)&lt;0.005,"*",100*26380/(F68-0)),0)</f>
        <v>0.5</v>
      </c>
    </row>
    <row r="68" spans="1:7" ht="15" customHeight="1" x14ac:dyDescent="0.2">
      <c r="A68" s="32" t="s">
        <v>93</v>
      </c>
      <c r="B68" s="31">
        <f>93653+9253+127028+59182+533254+62659+32539+13506+8269+305215+210078+17833+29794+172946+113903+43741+44984+94217+90419+16030+64638+64000+146977+68136+68985+94586+14599+27925+47048+10345+89707+42666+224600+170412+8139+168965+70890+58378+150325+11735+90489+12775+118502+521274+58599+6554+97681+86884+31980+74641+6259+6835+9849+4276+52626+0+5170+300495+0+25823+1325+18994+0</f>
        <v>5212590</v>
      </c>
      <c r="C68" s="31">
        <f>0+0+0+0+0+0+0+0+0+0+0+0+0+0+0+0+0+0+0+0+0+0+0+0+0+0+0+0+0+0+0+0+0+0+0+0+0+0+0+0+0+0+0+0+0+0+0+0+0+0+0+0+0+0+0+0+0+0+0+0+0+0+0</f>
        <v>0</v>
      </c>
      <c r="D68" s="31">
        <f>94691+9355+128436+59839+539166+63353+32900+13656+8361+308599+212407+18031+30124+174863+115166+44226+45482+95262+91422+16208+65354+64710+148607+68891+69750+95635+14761+28234+47570+10459+90702+43139+227091+172302+8230+170839+71677+59025+151991+11866+91493+12917+119816+527053+59249+6627+98764+87848+32335+75469+6329+6901+9943+4317+53210+0+5219+301870+0+26380+1500+26380+0</f>
        <v>5276000</v>
      </c>
      <c r="E68" s="31">
        <f>SUM(C68:D68)</f>
        <v>5276000</v>
      </c>
      <c r="F68" s="31">
        <f>94691+9355+128436+59839+539166+63353+32900+13656+8361+308599+212407+18031+30124+174863+115166+44226+45482+95262+91422+16208+65354+64710+148607+68891+69750+95635+14761+28234+47570+10459+90702+43139+227091+172302+8230+170839+71677+59025+151991+11866+91493+12917+119816+527053+59249+6627+98764+87848+32335+75469+6329+6901+9943+4317+53210+0+5219+301870+0+26380+1500+26380+0</f>
        <v>5276000</v>
      </c>
      <c r="G68" s="30" t="s">
        <v>153</v>
      </c>
    </row>
    <row r="69" spans="1:7" ht="15" customHeight="1" x14ac:dyDescent="0.2">
      <c r="A69" s="66" t="s">
        <v>155</v>
      </c>
      <c r="B69" s="66"/>
      <c r="C69" s="66"/>
      <c r="D69" s="66"/>
      <c r="E69" s="66"/>
      <c r="F69" s="66"/>
      <c r="G69" s="66"/>
    </row>
  </sheetData>
  <mergeCells count="5">
    <mergeCell ref="A69:G69"/>
    <mergeCell ref="A4:A5"/>
    <mergeCell ref="B4:B5"/>
    <mergeCell ref="F4:F5"/>
    <mergeCell ref="G4:G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187</v>
      </c>
    </row>
    <row r="2" spans="1:7" x14ac:dyDescent="0.2">
      <c r="A2" s="11" t="s">
        <v>188</v>
      </c>
      <c r="B2" s="12"/>
      <c r="C2" s="12"/>
      <c r="D2" s="12"/>
      <c r="E2" s="12"/>
      <c r="F2" s="12"/>
      <c r="G2" s="12"/>
    </row>
    <row r="3" spans="1:7" x14ac:dyDescent="0.2">
      <c r="A3" s="12" t="s">
        <v>85</v>
      </c>
      <c r="B3" s="12"/>
      <c r="C3" s="12"/>
      <c r="D3" s="12"/>
      <c r="E3" s="12"/>
      <c r="F3" s="12"/>
      <c r="G3" s="12"/>
    </row>
    <row r="4" spans="1:7" x14ac:dyDescent="0.2">
      <c r="A4" s="74" t="s">
        <v>86</v>
      </c>
      <c r="B4" s="76" t="s">
        <v>87</v>
      </c>
      <c r="C4" s="37" t="s">
        <v>88</v>
      </c>
      <c r="D4" s="37"/>
      <c r="E4" s="37"/>
      <c r="F4" s="76" t="s">
        <v>89</v>
      </c>
      <c r="G4" s="78" t="s">
        <v>90</v>
      </c>
    </row>
    <row r="5" spans="1:7" ht="25.5" customHeight="1" x14ac:dyDescent="0.2">
      <c r="A5" s="75"/>
      <c r="B5" s="77"/>
      <c r="C5" s="36" t="s">
        <v>91</v>
      </c>
      <c r="D5" s="36" t="s">
        <v>92</v>
      </c>
      <c r="E5" s="36" t="s">
        <v>93</v>
      </c>
      <c r="F5" s="77"/>
      <c r="G5" s="79"/>
    </row>
    <row r="6" spans="1:7" x14ac:dyDescent="0.2">
      <c r="A6" s="9" t="s">
        <v>94</v>
      </c>
      <c r="B6" s="35">
        <v>16442</v>
      </c>
      <c r="C6" s="35">
        <v>0</v>
      </c>
      <c r="D6" s="35">
        <v>16442</v>
      </c>
      <c r="E6" s="35">
        <v>16442</v>
      </c>
      <c r="F6" s="35">
        <v>16442</v>
      </c>
      <c r="G6" s="33">
        <f>IF(AND(F67&lt;&gt;0,16442&lt;&gt;0),IF(100*16442/(F67-0)&lt;0.005,"*",100*16442/(F67-0)),0)</f>
        <v>1.2906973549417726</v>
      </c>
    </row>
    <row r="7" spans="1:7" x14ac:dyDescent="0.2">
      <c r="A7" s="9" t="s">
        <v>95</v>
      </c>
      <c r="B7" s="35">
        <v>3545</v>
      </c>
      <c r="C7" s="35">
        <v>0</v>
      </c>
      <c r="D7" s="35">
        <v>3545</v>
      </c>
      <c r="E7" s="35">
        <v>3545</v>
      </c>
      <c r="F7" s="35">
        <v>3545</v>
      </c>
      <c r="G7" s="33">
        <f>IF(AND(F67&lt;&gt;0,3545&lt;&gt;0),IF(100*3545/(F67-0)&lt;0.005,"*",100*3545/(F67-0)),0)</f>
        <v>0.27828257652770855</v>
      </c>
    </row>
    <row r="8" spans="1:7" x14ac:dyDescent="0.2">
      <c r="A8" s="9" t="s">
        <v>96</v>
      </c>
      <c r="B8" s="35">
        <v>19827</v>
      </c>
      <c r="C8" s="35">
        <v>0</v>
      </c>
      <c r="D8" s="35">
        <v>19827</v>
      </c>
      <c r="E8" s="35">
        <v>19827</v>
      </c>
      <c r="F8" s="35">
        <v>19827</v>
      </c>
      <c r="G8" s="33">
        <f>IF(AND(F67&lt;&gt;0,19827&lt;&gt;0),IF(100*19827/(F67-0)&lt;0.005,"*",100*19827/(F67-0)),0)</f>
        <v>1.5564199280154802</v>
      </c>
    </row>
    <row r="9" spans="1:7" x14ac:dyDescent="0.2">
      <c r="A9" s="9" t="s">
        <v>97</v>
      </c>
      <c r="B9" s="35">
        <v>5300</v>
      </c>
      <c r="C9" s="35">
        <v>0</v>
      </c>
      <c r="D9" s="35">
        <v>5300</v>
      </c>
      <c r="E9" s="35">
        <v>5300</v>
      </c>
      <c r="F9" s="35">
        <v>5300</v>
      </c>
      <c r="G9" s="33">
        <f>IF(AND(F67&lt;&gt;0,5300&lt;&gt;0),IF(100*5300/(F67-0)&lt;0.005,"*",100*5300/(F67-0)),0)</f>
        <v>0.41605011441378148</v>
      </c>
    </row>
    <row r="10" spans="1:7" x14ac:dyDescent="0.2">
      <c r="A10" s="9" t="s">
        <v>98</v>
      </c>
      <c r="B10" s="35">
        <v>85592</v>
      </c>
      <c r="C10" s="35">
        <v>0</v>
      </c>
      <c r="D10" s="35">
        <v>85592</v>
      </c>
      <c r="E10" s="35">
        <v>85592</v>
      </c>
      <c r="F10" s="35">
        <v>85592</v>
      </c>
      <c r="G10" s="33">
        <f>IF(AND(F67&lt;&gt;0,85592&lt;&gt;0),IF(100*85592/(F67-0)&lt;0.005,"*",100*85592/(F67-0)),0)</f>
        <v>6.718973847717808</v>
      </c>
    </row>
    <row r="11" spans="1:7" x14ac:dyDescent="0.2">
      <c r="A11" s="9" t="s">
        <v>99</v>
      </c>
      <c r="B11" s="35">
        <v>10174</v>
      </c>
      <c r="C11" s="35">
        <v>0</v>
      </c>
      <c r="D11" s="35">
        <v>10174</v>
      </c>
      <c r="E11" s="35">
        <v>10174</v>
      </c>
      <c r="F11" s="35">
        <v>10174</v>
      </c>
      <c r="G11" s="33">
        <f>IF(AND(F67&lt;&gt;0,10174&lt;&gt;0),IF(100*10174/(F67-0)&lt;0.005,"*",100*10174/(F67-0)),0)</f>
        <v>0.79865921963128539</v>
      </c>
    </row>
    <row r="12" spans="1:7" x14ac:dyDescent="0.2">
      <c r="A12" s="9" t="s">
        <v>100</v>
      </c>
      <c r="B12" s="35">
        <v>18738</v>
      </c>
      <c r="C12" s="35">
        <v>0</v>
      </c>
      <c r="D12" s="35">
        <v>18738</v>
      </c>
      <c r="E12" s="35">
        <v>18738</v>
      </c>
      <c r="F12" s="35">
        <v>18738</v>
      </c>
      <c r="G12" s="33">
        <f>IF(AND(F67&lt;&gt;0,18738&lt;&gt;0),IF(100*18738/(F67-0)&lt;0.005,"*",100*18738/(F67-0)),0)</f>
        <v>1.4709334045066862</v>
      </c>
    </row>
    <row r="13" spans="1:7" x14ac:dyDescent="0.2">
      <c r="A13" s="9" t="s">
        <v>101</v>
      </c>
      <c r="B13" s="35">
        <v>5179</v>
      </c>
      <c r="C13" s="35">
        <v>0</v>
      </c>
      <c r="D13" s="35">
        <v>5179</v>
      </c>
      <c r="E13" s="35">
        <v>5179</v>
      </c>
      <c r="F13" s="35">
        <v>5179</v>
      </c>
      <c r="G13" s="33">
        <f>IF(AND(F67&lt;&gt;0,5179&lt;&gt;0),IF(100*5179/(F67-0)&lt;0.005,"*",100*5179/(F67-0)),0)</f>
        <v>0.40655161180169325</v>
      </c>
    </row>
    <row r="14" spans="1:7" x14ac:dyDescent="0.2">
      <c r="A14" s="9" t="s">
        <v>102</v>
      </c>
      <c r="B14" s="35">
        <v>4567</v>
      </c>
      <c r="C14" s="35">
        <v>0</v>
      </c>
      <c r="D14" s="35">
        <v>4567</v>
      </c>
      <c r="E14" s="35">
        <v>4567</v>
      </c>
      <c r="F14" s="35">
        <v>4567</v>
      </c>
      <c r="G14" s="33">
        <f>IF(AND(F67&lt;&gt;0,4567&lt;&gt;0),IF(100*4567/(F67-0)&lt;0.005,"*",100*4567/(F67-0)),0)</f>
        <v>0.35850959859013959</v>
      </c>
    </row>
    <row r="15" spans="1:7" x14ac:dyDescent="0.2">
      <c r="A15" s="9" t="s">
        <v>103</v>
      </c>
      <c r="B15" s="35">
        <v>43027</v>
      </c>
      <c r="C15" s="35">
        <v>0</v>
      </c>
      <c r="D15" s="35">
        <v>43027</v>
      </c>
      <c r="E15" s="35">
        <v>43027</v>
      </c>
      <c r="F15" s="35">
        <v>43027</v>
      </c>
      <c r="G15" s="33">
        <f>IF(AND(F67&lt;&gt;0,43027&lt;&gt;0),IF(100*43027/(F67-0)&lt;0.005,"*",100*43027/(F67-0)),0)</f>
        <v>3.377620428845618</v>
      </c>
    </row>
    <row r="16" spans="1:7" x14ac:dyDescent="0.2">
      <c r="A16" s="9" t="s">
        <v>104</v>
      </c>
      <c r="B16" s="35">
        <v>36548</v>
      </c>
      <c r="C16" s="35">
        <v>0</v>
      </c>
      <c r="D16" s="35">
        <v>36548</v>
      </c>
      <c r="E16" s="35">
        <v>36548</v>
      </c>
      <c r="F16" s="35">
        <v>36548</v>
      </c>
      <c r="G16" s="33">
        <f>IF(AND(F67&lt;&gt;0,36548&lt;&gt;0),IF(100*36548/(F67-0)&lt;0.005,"*",100*36548/(F67-0)),0)</f>
        <v>2.869018788980167</v>
      </c>
    </row>
    <row r="17" spans="1:7" x14ac:dyDescent="0.2">
      <c r="A17" s="9" t="s">
        <v>105</v>
      </c>
      <c r="B17" s="35">
        <v>4972</v>
      </c>
      <c r="C17" s="35">
        <v>0</v>
      </c>
      <c r="D17" s="35">
        <v>4972</v>
      </c>
      <c r="E17" s="35">
        <v>4972</v>
      </c>
      <c r="F17" s="35">
        <v>4972</v>
      </c>
      <c r="G17" s="33">
        <f>IF(AND(F67&lt;&gt;0,4972&lt;&gt;0),IF(100*4972/(F67-0)&lt;0.005,"*",100*4972/(F67-0)),0)</f>
        <v>0.39030210733307952</v>
      </c>
    </row>
    <row r="18" spans="1:7" x14ac:dyDescent="0.2">
      <c r="A18" s="9" t="s">
        <v>106</v>
      </c>
      <c r="B18" s="35">
        <v>2868</v>
      </c>
      <c r="C18" s="35">
        <v>0</v>
      </c>
      <c r="D18" s="35">
        <v>2868</v>
      </c>
      <c r="E18" s="35">
        <v>2868</v>
      </c>
      <c r="F18" s="35">
        <v>2868</v>
      </c>
      <c r="G18" s="33">
        <f>IF(AND(F67&lt;&gt;0,2868&lt;&gt;0),IF(100*2868/(F67-0)&lt;0.005,"*",100*2868/(F67-0)),0)</f>
        <v>0.22513806191296704</v>
      </c>
    </row>
    <row r="19" spans="1:7" x14ac:dyDescent="0.2">
      <c r="A19" s="9" t="s">
        <v>107</v>
      </c>
      <c r="B19" s="35">
        <v>56874</v>
      </c>
      <c r="C19" s="35">
        <v>0</v>
      </c>
      <c r="D19" s="35">
        <v>56874</v>
      </c>
      <c r="E19" s="35">
        <v>56874</v>
      </c>
      <c r="F19" s="35">
        <v>56873</v>
      </c>
      <c r="G19" s="33">
        <f>IF(AND(F67&lt;&gt;0,56873&lt;&gt;0),IF(100*56873/(F67-0)&lt;0.005,"*",100*56873/(F67-0)),0)</f>
        <v>4.4645317277462251</v>
      </c>
    </row>
    <row r="20" spans="1:7" x14ac:dyDescent="0.2">
      <c r="A20" s="9" t="s">
        <v>108</v>
      </c>
      <c r="B20" s="35">
        <v>26182</v>
      </c>
      <c r="C20" s="35">
        <v>0</v>
      </c>
      <c r="D20" s="35">
        <v>26182</v>
      </c>
      <c r="E20" s="35">
        <v>26182</v>
      </c>
      <c r="F20" s="35">
        <v>26182</v>
      </c>
      <c r="G20" s="33">
        <f>IF(AND(F67&lt;&gt;0,26182&lt;&gt;0),IF(100*26182/(F67-0)&lt;0.005,"*",100*26182/(F67-0)),0)</f>
        <v>2.0552875652040803</v>
      </c>
    </row>
    <row r="21" spans="1:7" x14ac:dyDescent="0.2">
      <c r="A21" s="9" t="s">
        <v>109</v>
      </c>
      <c r="B21" s="35">
        <v>8508</v>
      </c>
      <c r="C21" s="35">
        <v>0</v>
      </c>
      <c r="D21" s="35">
        <v>8508</v>
      </c>
      <c r="E21" s="35">
        <v>8508</v>
      </c>
      <c r="F21" s="35">
        <v>8508</v>
      </c>
      <c r="G21" s="33">
        <f>IF(AND(F67&lt;&gt;0,8508&lt;&gt;0),IF(100*8508/(F67-0)&lt;0.005,"*",100*8508/(F67-0)),0)</f>
        <v>0.66787818366650054</v>
      </c>
    </row>
    <row r="22" spans="1:7" x14ac:dyDescent="0.2">
      <c r="A22" s="9" t="s">
        <v>110</v>
      </c>
      <c r="B22" s="35">
        <v>9812</v>
      </c>
      <c r="C22" s="35">
        <v>0</v>
      </c>
      <c r="D22" s="35">
        <v>9812</v>
      </c>
      <c r="E22" s="35">
        <v>9812</v>
      </c>
      <c r="F22" s="35">
        <v>9812</v>
      </c>
      <c r="G22" s="33">
        <f>IF(AND(F67&lt;&gt;0,9812&lt;&gt;0),IF(100*9812/(F67-0)&lt;0.005,"*",100*9812/(F67-0)),0)</f>
        <v>0.77024221181660824</v>
      </c>
    </row>
    <row r="23" spans="1:7" x14ac:dyDescent="0.2">
      <c r="A23" s="9" t="s">
        <v>111</v>
      </c>
      <c r="B23" s="35">
        <v>16702</v>
      </c>
      <c r="C23" s="35">
        <v>0</v>
      </c>
      <c r="D23" s="35">
        <v>16702</v>
      </c>
      <c r="E23" s="35">
        <v>16702</v>
      </c>
      <c r="F23" s="35">
        <v>16702</v>
      </c>
      <c r="G23" s="33">
        <f>IF(AND(F67&lt;&gt;0,16702&lt;&gt;0),IF(100*16702/(F67-0)&lt;0.005,"*",100*16702/(F67-0)),0)</f>
        <v>1.3111073605545243</v>
      </c>
    </row>
    <row r="24" spans="1:7" x14ac:dyDescent="0.2">
      <c r="A24" s="9" t="s">
        <v>112</v>
      </c>
      <c r="B24" s="35">
        <v>13865</v>
      </c>
      <c r="C24" s="35">
        <v>0</v>
      </c>
      <c r="D24" s="35">
        <v>13865</v>
      </c>
      <c r="E24" s="35">
        <v>13865</v>
      </c>
      <c r="F24" s="35">
        <v>13865</v>
      </c>
      <c r="G24" s="33">
        <f>IF(AND(F67&lt;&gt;0,13865&lt;&gt;0),IF(100*13865/(F67-0)&lt;0.005,"*",100*13865/(F67-0)),0)</f>
        <v>1.0884027993107699</v>
      </c>
    </row>
    <row r="25" spans="1:7" x14ac:dyDescent="0.2">
      <c r="A25" s="9" t="s">
        <v>113</v>
      </c>
      <c r="B25" s="35">
        <v>3019</v>
      </c>
      <c r="C25" s="35">
        <v>0</v>
      </c>
      <c r="D25" s="35">
        <v>3019</v>
      </c>
      <c r="E25" s="35">
        <v>3019</v>
      </c>
      <c r="F25" s="35">
        <v>3019</v>
      </c>
      <c r="G25" s="33">
        <f>IF(AND(F67&lt;&gt;0,3019&lt;&gt;0),IF(100*3019/(F67-0)&lt;0.005,"*",100*3019/(F67-0)),0)</f>
        <v>0.23699156517268041</v>
      </c>
    </row>
    <row r="26" spans="1:7" x14ac:dyDescent="0.2">
      <c r="A26" s="9" t="s">
        <v>114</v>
      </c>
      <c r="B26" s="35">
        <v>23301</v>
      </c>
      <c r="C26" s="35">
        <v>0</v>
      </c>
      <c r="D26" s="35">
        <v>23301</v>
      </c>
      <c r="E26" s="35">
        <v>23301</v>
      </c>
      <c r="F26" s="35">
        <v>23301</v>
      </c>
      <c r="G26" s="33">
        <f>IF(AND(F67&lt;&gt;0,23301&lt;&gt;0),IF(100*23301/(F67-0)&lt;0.005,"*",100*23301/(F67-0)),0)</f>
        <v>1.8291290030104759</v>
      </c>
    </row>
    <row r="27" spans="1:7" x14ac:dyDescent="0.2">
      <c r="A27" s="9" t="s">
        <v>115</v>
      </c>
      <c r="B27" s="35">
        <v>44973</v>
      </c>
      <c r="C27" s="35">
        <v>0</v>
      </c>
      <c r="D27" s="35">
        <v>44973</v>
      </c>
      <c r="E27" s="35">
        <v>44973</v>
      </c>
      <c r="F27" s="35">
        <v>44973</v>
      </c>
      <c r="G27" s="33">
        <f>IF(AND(F67&lt;&gt;0,44973&lt;&gt;0),IF(100*44973/(F67-0)&lt;0.005,"*",100*44973/(F67-0)),0)</f>
        <v>3.5303814708549046</v>
      </c>
    </row>
    <row r="28" spans="1:7" x14ac:dyDescent="0.2">
      <c r="A28" s="9" t="s">
        <v>116</v>
      </c>
      <c r="B28" s="35">
        <v>32082</v>
      </c>
      <c r="C28" s="35">
        <v>0</v>
      </c>
      <c r="D28" s="35">
        <v>32082</v>
      </c>
      <c r="E28" s="35">
        <v>32082</v>
      </c>
      <c r="F28" s="35">
        <v>32082</v>
      </c>
      <c r="G28" s="33">
        <f>IF(AND(F67&lt;&gt;0,32082&lt;&gt;0),IF(100*32082/(F67-0)&lt;0.005,"*",100*32082/(F67-0)),0)</f>
        <v>2.5184376925703655</v>
      </c>
    </row>
    <row r="29" spans="1:7" x14ac:dyDescent="0.2">
      <c r="A29" s="9" t="s">
        <v>117</v>
      </c>
      <c r="B29" s="35">
        <v>23368</v>
      </c>
      <c r="C29" s="35">
        <v>0</v>
      </c>
      <c r="D29" s="35">
        <v>23368</v>
      </c>
      <c r="E29" s="35">
        <v>23368</v>
      </c>
      <c r="F29" s="35">
        <v>23368</v>
      </c>
      <c r="G29" s="33">
        <f>IF(AND(F67&lt;&gt;0,23368&lt;&gt;0),IF(100*23368/(F67-0)&lt;0.005,"*",100*23368/(F67-0)),0)</f>
        <v>1.8343885044568387</v>
      </c>
    </row>
    <row r="30" spans="1:7" x14ac:dyDescent="0.2">
      <c r="A30" s="9" t="s">
        <v>118</v>
      </c>
      <c r="B30" s="35">
        <v>6293</v>
      </c>
      <c r="C30" s="35">
        <v>0</v>
      </c>
      <c r="D30" s="35">
        <v>6293</v>
      </c>
      <c r="E30" s="35">
        <v>6293</v>
      </c>
      <c r="F30" s="35">
        <v>6293</v>
      </c>
      <c r="G30" s="33">
        <f>IF(AND(F67&lt;&gt;0,6293&lt;&gt;0),IF(100*6293/(F67-0)&lt;0.005,"*",100*6293/(F67-0)),0)</f>
        <v>0.49400063585017484</v>
      </c>
    </row>
    <row r="31" spans="1:7" x14ac:dyDescent="0.2">
      <c r="A31" s="9" t="s">
        <v>119</v>
      </c>
      <c r="B31" s="35">
        <v>24669</v>
      </c>
      <c r="C31" s="35">
        <v>0</v>
      </c>
      <c r="D31" s="35">
        <v>24669</v>
      </c>
      <c r="E31" s="35">
        <v>24669</v>
      </c>
      <c r="F31" s="35">
        <v>24669</v>
      </c>
      <c r="G31" s="33">
        <f>IF(AND(F67&lt;&gt;0,24669&lt;&gt;0),IF(100*24669/(F67-0)&lt;0.005,"*",100*24669/(F67-0)),0)</f>
        <v>1.9365170325421839</v>
      </c>
    </row>
    <row r="32" spans="1:7" x14ac:dyDescent="0.2">
      <c r="A32" s="9" t="s">
        <v>120</v>
      </c>
      <c r="B32" s="35">
        <v>3191</v>
      </c>
      <c r="C32" s="35">
        <v>0</v>
      </c>
      <c r="D32" s="35">
        <v>3191</v>
      </c>
      <c r="E32" s="35">
        <v>3191</v>
      </c>
      <c r="F32" s="35">
        <v>3191</v>
      </c>
      <c r="G32" s="33">
        <f>IF(AND(F67&lt;&gt;0,3191&lt;&gt;0),IF(100*3191/(F67-0)&lt;0.005,"*",100*3191/(F67-0)),0)</f>
        <v>0.25049356888573143</v>
      </c>
    </row>
    <row r="33" spans="1:7" x14ac:dyDescent="0.2">
      <c r="A33" s="9" t="s">
        <v>121</v>
      </c>
      <c r="B33" s="35">
        <v>10595</v>
      </c>
      <c r="C33" s="35">
        <v>0</v>
      </c>
      <c r="D33" s="35">
        <v>10595</v>
      </c>
      <c r="E33" s="35">
        <v>10595</v>
      </c>
      <c r="F33" s="35">
        <v>10595</v>
      </c>
      <c r="G33" s="33">
        <f>IF(AND(F67&lt;&gt;0,10595&lt;&gt;0),IF(100*10595/(F67-0)&lt;0.005,"*",100*10595/(F67-0)),0)</f>
        <v>0.83170772871962539</v>
      </c>
    </row>
    <row r="34" spans="1:7" x14ac:dyDescent="0.2">
      <c r="A34" s="9" t="s">
        <v>122</v>
      </c>
      <c r="B34" s="35">
        <v>2580</v>
      </c>
      <c r="C34" s="35">
        <v>0</v>
      </c>
      <c r="D34" s="35">
        <v>2580</v>
      </c>
      <c r="E34" s="35">
        <v>2580</v>
      </c>
      <c r="F34" s="35">
        <v>2580</v>
      </c>
      <c r="G34" s="33">
        <f>IF(AND(F67&lt;&gt;0,2580&lt;&gt;0),IF(100*2580/(F67-0)&lt;0.005,"*",100*2580/(F67-0)),0)</f>
        <v>0.20253005569576532</v>
      </c>
    </row>
    <row r="35" spans="1:7" x14ac:dyDescent="0.2">
      <c r="A35" s="9" t="s">
        <v>123</v>
      </c>
      <c r="B35" s="35">
        <v>4582</v>
      </c>
      <c r="C35" s="35">
        <v>0</v>
      </c>
      <c r="D35" s="35">
        <v>4582</v>
      </c>
      <c r="E35" s="35">
        <v>4582</v>
      </c>
      <c r="F35" s="35">
        <v>4582</v>
      </c>
      <c r="G35" s="33">
        <f>IF(AND(F67&lt;&gt;0,4582&lt;&gt;0),IF(100*4582/(F67-0)&lt;0.005,"*",100*4582/(F67-0)),0)</f>
        <v>0.35968709891395217</v>
      </c>
    </row>
    <row r="36" spans="1:7" x14ac:dyDescent="0.2">
      <c r="A36" s="9" t="s">
        <v>124</v>
      </c>
      <c r="B36" s="35">
        <v>26374</v>
      </c>
      <c r="C36" s="35">
        <v>0</v>
      </c>
      <c r="D36" s="35">
        <v>26374</v>
      </c>
      <c r="E36" s="35">
        <v>26374</v>
      </c>
      <c r="F36" s="35">
        <v>26374</v>
      </c>
      <c r="G36" s="33">
        <f>IF(AND(F67&lt;&gt;0,26374&lt;&gt;0),IF(100*26374/(F67-0)&lt;0.005,"*",100*26374/(F67-0)),0)</f>
        <v>2.0703595693488817</v>
      </c>
    </row>
    <row r="37" spans="1:7" x14ac:dyDescent="0.2">
      <c r="A37" s="9" t="s">
        <v>125</v>
      </c>
      <c r="B37" s="35">
        <v>8308</v>
      </c>
      <c r="C37" s="35">
        <v>0</v>
      </c>
      <c r="D37" s="35">
        <v>8308</v>
      </c>
      <c r="E37" s="35">
        <v>8308</v>
      </c>
      <c r="F37" s="35">
        <v>8308</v>
      </c>
      <c r="G37" s="33">
        <f>IF(AND(F67&lt;&gt;0,8308&lt;&gt;0),IF(100*8308/(F67-0)&lt;0.005,"*",100*8308/(F67-0)),0)</f>
        <v>0.65217817934899935</v>
      </c>
    </row>
    <row r="38" spans="1:7" x14ac:dyDescent="0.2">
      <c r="A38" s="9" t="s">
        <v>126</v>
      </c>
      <c r="B38" s="35">
        <v>101983</v>
      </c>
      <c r="C38" s="35">
        <v>0</v>
      </c>
      <c r="D38" s="35">
        <v>101984</v>
      </c>
      <c r="E38" s="35">
        <v>101984</v>
      </c>
      <c r="F38" s="35">
        <v>101984</v>
      </c>
      <c r="G38" s="33">
        <f>IF(AND(F67&lt;&gt;0,101984&lt;&gt;0),IF(100*101984/(F67-0)&lt;0.005,"*",100*101984/(F67-0)),0)</f>
        <v>8.0057462015802052</v>
      </c>
    </row>
    <row r="39" spans="1:7" x14ac:dyDescent="0.2">
      <c r="A39" s="9" t="s">
        <v>127</v>
      </c>
      <c r="B39" s="35">
        <v>69638</v>
      </c>
      <c r="C39" s="35">
        <v>0</v>
      </c>
      <c r="D39" s="35">
        <v>69639</v>
      </c>
      <c r="E39" s="35">
        <v>69639</v>
      </c>
      <c r="F39" s="35">
        <v>69639</v>
      </c>
      <c r="G39" s="33">
        <f>IF(AND(F67&lt;&gt;0,69639&lt;&gt;0),IF(100*69639/(F67-0)&lt;0.005,"*",100*69639/(F67-0)),0)</f>
        <v>5.466663003332326</v>
      </c>
    </row>
    <row r="40" spans="1:7" x14ac:dyDescent="0.2">
      <c r="A40" s="9" t="s">
        <v>128</v>
      </c>
      <c r="B40" s="35">
        <v>2506</v>
      </c>
      <c r="C40" s="35">
        <v>0</v>
      </c>
      <c r="D40" s="35">
        <v>2506</v>
      </c>
      <c r="E40" s="35">
        <v>2506</v>
      </c>
      <c r="F40" s="35">
        <v>2506</v>
      </c>
      <c r="G40" s="33">
        <f>IF(AND(F67&lt;&gt;0,2506&lt;&gt;0),IF(100*2506/(F67-0)&lt;0.005,"*",100*2506/(F67-0)),0)</f>
        <v>0.19672105409828988</v>
      </c>
    </row>
    <row r="41" spans="1:7" x14ac:dyDescent="0.2">
      <c r="A41" s="9" t="s">
        <v>129</v>
      </c>
      <c r="B41" s="35">
        <v>70125</v>
      </c>
      <c r="C41" s="35">
        <v>0</v>
      </c>
      <c r="D41" s="35">
        <v>70124</v>
      </c>
      <c r="E41" s="35">
        <v>70124</v>
      </c>
      <c r="F41" s="35">
        <v>70125</v>
      </c>
      <c r="G41" s="33">
        <f>IF(AND(F67&lt;&gt;0,70125&lt;&gt;0),IF(100*70125/(F67-0)&lt;0.005,"*",100*70125/(F67-0)),0)</f>
        <v>5.5048140138238537</v>
      </c>
    </row>
    <row r="42" spans="1:7" x14ac:dyDescent="0.2">
      <c r="A42" s="9" t="s">
        <v>130</v>
      </c>
      <c r="B42" s="35">
        <v>24910</v>
      </c>
      <c r="C42" s="35">
        <v>0</v>
      </c>
      <c r="D42" s="35">
        <v>24910</v>
      </c>
      <c r="E42" s="35">
        <v>24910</v>
      </c>
      <c r="F42" s="35">
        <v>24910</v>
      </c>
      <c r="G42" s="33">
        <f>IF(AND(F67&lt;&gt;0,24910&lt;&gt;0),IF(100*24910/(F67-0)&lt;0.005,"*",100*24910/(F67-0)),0)</f>
        <v>1.955435537744773</v>
      </c>
    </row>
    <row r="43" spans="1:7" x14ac:dyDescent="0.2">
      <c r="A43" s="9" t="s">
        <v>131</v>
      </c>
      <c r="B43" s="35">
        <v>19409</v>
      </c>
      <c r="C43" s="35">
        <v>0</v>
      </c>
      <c r="D43" s="35">
        <v>19409</v>
      </c>
      <c r="E43" s="35">
        <v>19409</v>
      </c>
      <c r="F43" s="35">
        <v>19409</v>
      </c>
      <c r="G43" s="33">
        <f>IF(AND(F67&lt;&gt;0,19409&lt;&gt;0),IF(100*19409/(F67-0)&lt;0.005,"*",100*19409/(F67-0)),0)</f>
        <v>1.5236069189919028</v>
      </c>
    </row>
    <row r="44" spans="1:7" x14ac:dyDescent="0.2">
      <c r="A44" s="9" t="s">
        <v>132</v>
      </c>
      <c r="B44" s="35">
        <v>55337</v>
      </c>
      <c r="C44" s="35">
        <v>0</v>
      </c>
      <c r="D44" s="35">
        <v>55337</v>
      </c>
      <c r="E44" s="35">
        <v>55337</v>
      </c>
      <c r="F44" s="35">
        <v>55337</v>
      </c>
      <c r="G44" s="33">
        <f>IF(AND(F67&lt;&gt;0,55337&lt;&gt;0),IF(100*55337/(F67-0)&lt;0.005,"*",100*55337/(F67-0)),0)</f>
        <v>4.3439556945878159</v>
      </c>
    </row>
    <row r="45" spans="1:7" x14ac:dyDescent="0.2">
      <c r="A45" s="9" t="s">
        <v>133</v>
      </c>
      <c r="B45" s="35">
        <v>6634</v>
      </c>
      <c r="C45" s="35">
        <v>0</v>
      </c>
      <c r="D45" s="35">
        <v>6634</v>
      </c>
      <c r="E45" s="35">
        <v>6634</v>
      </c>
      <c r="F45" s="35">
        <v>6634</v>
      </c>
      <c r="G45" s="33">
        <f>IF(AND(F67&lt;&gt;0,6634&lt;&gt;0),IF(100*6634/(F67-0)&lt;0.005,"*",100*6634/(F67-0)),0)</f>
        <v>0.52076914321151435</v>
      </c>
    </row>
    <row r="46" spans="1:7" x14ac:dyDescent="0.2">
      <c r="A46" s="9" t="s">
        <v>134</v>
      </c>
      <c r="B46" s="35">
        <v>9867</v>
      </c>
      <c r="C46" s="35">
        <v>0</v>
      </c>
      <c r="D46" s="35">
        <v>9867</v>
      </c>
      <c r="E46" s="35">
        <v>9867</v>
      </c>
      <c r="F46" s="35">
        <v>9867</v>
      </c>
      <c r="G46" s="33">
        <f>IF(AND(F67&lt;&gt;0,9867&lt;&gt;0),IF(100*9867/(F67-0)&lt;0.005,"*",100*9867/(F67-0)),0)</f>
        <v>0.77455971300392112</v>
      </c>
    </row>
    <row r="47" spans="1:7" x14ac:dyDescent="0.2">
      <c r="A47" s="9" t="s">
        <v>135</v>
      </c>
      <c r="B47" s="35">
        <v>1711</v>
      </c>
      <c r="C47" s="35">
        <v>0</v>
      </c>
      <c r="D47" s="35">
        <v>1711</v>
      </c>
      <c r="E47" s="35">
        <v>1711</v>
      </c>
      <c r="F47" s="35">
        <v>1711</v>
      </c>
      <c r="G47" s="33">
        <f>IF(AND(F67&lt;&gt;0,1711&lt;&gt;0),IF(100*1711/(F67-0)&lt;0.005,"*",100*1711/(F67-0)),0)</f>
        <v>0.13431353693622267</v>
      </c>
    </row>
    <row r="48" spans="1:7" x14ac:dyDescent="0.2">
      <c r="A48" s="9" t="s">
        <v>136</v>
      </c>
      <c r="B48" s="35">
        <v>37702</v>
      </c>
      <c r="C48" s="35">
        <v>0</v>
      </c>
      <c r="D48" s="35">
        <v>37702</v>
      </c>
      <c r="E48" s="35">
        <v>37702</v>
      </c>
      <c r="F48" s="35">
        <v>37702</v>
      </c>
      <c r="G48" s="33">
        <f>IF(AND(F67&lt;&gt;0,37702&lt;&gt;0),IF(100*37702/(F67-0)&lt;0.005,"*",100*37702/(F67-0)),0)</f>
        <v>2.9596078138921489</v>
      </c>
    </row>
    <row r="49" spans="1:7" x14ac:dyDescent="0.2">
      <c r="A49" s="9" t="s">
        <v>137</v>
      </c>
      <c r="B49" s="35">
        <v>59844</v>
      </c>
      <c r="C49" s="35">
        <v>0</v>
      </c>
      <c r="D49" s="35">
        <v>59843</v>
      </c>
      <c r="E49" s="35">
        <v>59843</v>
      </c>
      <c r="F49" s="35">
        <v>59844</v>
      </c>
      <c r="G49" s="33">
        <f>IF(AND(F67&lt;&gt;0,59844&lt;&gt;0),IF(100*59844/(F67-0)&lt;0.005,"*",100*59844/(F67-0)),0)</f>
        <v>4.6977552918827055</v>
      </c>
    </row>
    <row r="50" spans="1:7" x14ac:dyDescent="0.2">
      <c r="A50" s="9" t="s">
        <v>138</v>
      </c>
      <c r="B50" s="35">
        <v>12592</v>
      </c>
      <c r="C50" s="35">
        <v>0</v>
      </c>
      <c r="D50" s="35">
        <v>12592</v>
      </c>
      <c r="E50" s="35">
        <v>12592</v>
      </c>
      <c r="F50" s="35">
        <v>12592</v>
      </c>
      <c r="G50" s="33">
        <f>IF(AND(F67&lt;&gt;0,12592&lt;&gt;0),IF(100*12592/(F67-0)&lt;0.005,"*",100*12592/(F67-0)),0)</f>
        <v>0.98847227182987474</v>
      </c>
    </row>
    <row r="51" spans="1:7" x14ac:dyDescent="0.2">
      <c r="A51" s="9" t="s">
        <v>139</v>
      </c>
      <c r="B51" s="35">
        <v>3945</v>
      </c>
      <c r="C51" s="35">
        <v>0</v>
      </c>
      <c r="D51" s="35">
        <v>3945</v>
      </c>
      <c r="E51" s="35">
        <v>3945</v>
      </c>
      <c r="F51" s="35">
        <v>3945</v>
      </c>
      <c r="G51" s="33">
        <f>IF(AND(F67&lt;&gt;0,3945&lt;&gt;0),IF(100*3945/(F67-0)&lt;0.005,"*",100*3945/(F67-0)),0)</f>
        <v>0.30968258516271091</v>
      </c>
    </row>
    <row r="52" spans="1:7" x14ac:dyDescent="0.2">
      <c r="A52" s="9" t="s">
        <v>140</v>
      </c>
      <c r="B52" s="35">
        <v>21329</v>
      </c>
      <c r="C52" s="35">
        <v>0</v>
      </c>
      <c r="D52" s="35">
        <v>21329</v>
      </c>
      <c r="E52" s="35">
        <v>21329</v>
      </c>
      <c r="F52" s="35">
        <v>21329</v>
      </c>
      <c r="G52" s="33">
        <f>IF(AND(F67&lt;&gt;0,21329&lt;&gt;0),IF(100*21329/(F67-0)&lt;0.005,"*",100*21329/(F67-0)),0)</f>
        <v>1.674326960439914</v>
      </c>
    </row>
    <row r="53" spans="1:7" x14ac:dyDescent="0.2">
      <c r="A53" s="9" t="s">
        <v>141</v>
      </c>
      <c r="B53" s="35">
        <v>41883</v>
      </c>
      <c r="C53" s="35">
        <v>0</v>
      </c>
      <c r="D53" s="35">
        <v>41883</v>
      </c>
      <c r="E53" s="35">
        <v>41883</v>
      </c>
      <c r="F53" s="35">
        <v>41882</v>
      </c>
      <c r="G53" s="33">
        <f>IF(AND(F67&lt;&gt;0,41882&lt;&gt;0),IF(100*41882/(F67-0)&lt;0.005,"*",100*41882/(F67-0)),0)</f>
        <v>3.2877379041279235</v>
      </c>
    </row>
    <row r="54" spans="1:7" x14ac:dyDescent="0.2">
      <c r="A54" s="9" t="s">
        <v>142</v>
      </c>
      <c r="B54" s="35">
        <v>8727</v>
      </c>
      <c r="C54" s="35">
        <v>0</v>
      </c>
      <c r="D54" s="35">
        <v>8727</v>
      </c>
      <c r="E54" s="35">
        <v>8727</v>
      </c>
      <c r="F54" s="35">
        <v>8727</v>
      </c>
      <c r="G54" s="33">
        <f>IF(AND(F67&lt;&gt;0,8727&lt;&gt;0),IF(100*8727/(F67-0)&lt;0.005,"*",100*8727/(F67-0)),0)</f>
        <v>0.68506968839416427</v>
      </c>
    </row>
    <row r="55" spans="1:7" x14ac:dyDescent="0.2">
      <c r="A55" s="9" t="s">
        <v>143</v>
      </c>
      <c r="B55" s="35">
        <v>24511</v>
      </c>
      <c r="C55" s="35">
        <v>0</v>
      </c>
      <c r="D55" s="35">
        <v>24511</v>
      </c>
      <c r="E55" s="35">
        <v>24511</v>
      </c>
      <c r="F55" s="35">
        <v>24511</v>
      </c>
      <c r="G55" s="33">
        <f>IF(AND(F67&lt;&gt;0,24511&lt;&gt;0),IF(100*24511/(F67-0)&lt;0.005,"*",100*24511/(F67-0)),0)</f>
        <v>1.9241140291313581</v>
      </c>
    </row>
    <row r="56" spans="1:7" x14ac:dyDescent="0.2">
      <c r="A56" s="9" t="s">
        <v>144</v>
      </c>
      <c r="B56" s="35">
        <v>2815</v>
      </c>
      <c r="C56" s="35">
        <v>0</v>
      </c>
      <c r="D56" s="35">
        <v>2815</v>
      </c>
      <c r="E56" s="35">
        <v>2815</v>
      </c>
      <c r="F56" s="35">
        <v>2815</v>
      </c>
      <c r="G56" s="33">
        <f>IF(AND(F67&lt;&gt;0,2815&lt;&gt;0),IF(100*2815/(F67-0)&lt;0.005,"*",100*2815/(F67-0)),0)</f>
        <v>0.22097756076882921</v>
      </c>
    </row>
    <row r="57" spans="1:7" x14ac:dyDescent="0.2">
      <c r="A57" s="9" t="s">
        <v>145</v>
      </c>
      <c r="B57" s="35">
        <v>0</v>
      </c>
      <c r="C57" s="35">
        <v>0</v>
      </c>
      <c r="D57" s="35">
        <v>0</v>
      </c>
      <c r="E57" s="35">
        <v>0</v>
      </c>
      <c r="F57" s="35">
        <v>0</v>
      </c>
      <c r="G57" s="33">
        <f>IF(AND(F67&lt;&gt;0,0&lt;&gt;0),IF(100*0/(F67-0)&lt;0.005,"*",100*0/(F67-0)),0)</f>
        <v>0</v>
      </c>
    </row>
    <row r="58" spans="1:7" x14ac:dyDescent="0.2">
      <c r="A58" s="9" t="s">
        <v>146</v>
      </c>
      <c r="B58" s="35">
        <v>0</v>
      </c>
      <c r="C58" s="35">
        <v>0</v>
      </c>
      <c r="D58" s="35">
        <v>0</v>
      </c>
      <c r="E58" s="35">
        <v>0</v>
      </c>
      <c r="F58" s="35">
        <v>0</v>
      </c>
      <c r="G58" s="33">
        <f>IF(AND(F67&lt;&gt;0,0&lt;&gt;0),IF(100*0/(F67-0)&lt;0.005,"*",100*0/(F67-0)),0)</f>
        <v>0</v>
      </c>
    </row>
    <row r="59" spans="1:7" x14ac:dyDescent="0.2">
      <c r="A59" s="9" t="s">
        <v>147</v>
      </c>
      <c r="B59" s="35">
        <v>0</v>
      </c>
      <c r="C59" s="35">
        <v>0</v>
      </c>
      <c r="D59" s="35">
        <v>0</v>
      </c>
      <c r="E59" s="35">
        <v>0</v>
      </c>
      <c r="F59" s="35">
        <v>0</v>
      </c>
      <c r="G59" s="33">
        <f>IF(AND(F67&lt;&gt;0,0&lt;&gt;0),IF(100*0/(F67-0)&lt;0.005,"*",100*0/(F67-0)),0)</f>
        <v>0</v>
      </c>
    </row>
    <row r="60" spans="1:7" x14ac:dyDescent="0.2">
      <c r="A60" s="9" t="s">
        <v>148</v>
      </c>
      <c r="B60" s="35">
        <v>0</v>
      </c>
      <c r="C60" s="35">
        <v>0</v>
      </c>
      <c r="D60" s="35">
        <v>0</v>
      </c>
      <c r="E60" s="35">
        <v>0</v>
      </c>
      <c r="F60" s="35">
        <v>0</v>
      </c>
      <c r="G60" s="33">
        <f>IF(AND(F67&lt;&gt;0,0&lt;&gt;0),IF(100*0/(F67-0)&lt;0.005,"*",100*0/(F67-0)),0)</f>
        <v>0</v>
      </c>
    </row>
    <row r="61" spans="1:7" x14ac:dyDescent="0.2">
      <c r="A61" s="9" t="s">
        <v>149</v>
      </c>
      <c r="B61" s="35">
        <v>0</v>
      </c>
      <c r="C61" s="35">
        <v>0</v>
      </c>
      <c r="D61" s="35">
        <v>0</v>
      </c>
      <c r="E61" s="35">
        <v>0</v>
      </c>
      <c r="F61" s="35">
        <v>0</v>
      </c>
      <c r="G61" s="33">
        <f>IF(AND(F67&lt;&gt;0,0&lt;&gt;0),IF(100*0/(F67-0)&lt;0.005,"*",100*0/(F67-0)),0)</f>
        <v>0</v>
      </c>
    </row>
    <row r="62" spans="1:7" x14ac:dyDescent="0.2">
      <c r="A62" s="9" t="s">
        <v>150</v>
      </c>
      <c r="B62" s="35">
        <v>0</v>
      </c>
      <c r="C62" s="35">
        <v>0</v>
      </c>
      <c r="D62" s="35">
        <v>0</v>
      </c>
      <c r="E62" s="35">
        <v>0</v>
      </c>
      <c r="F62" s="35">
        <v>0</v>
      </c>
      <c r="G62" s="33">
        <f>IF(AND(F67&lt;&gt;0,0&lt;&gt;0),IF(100*0/(F67-0)&lt;0.005,"*",100*0/(F67-0)),0)</f>
        <v>0</v>
      </c>
    </row>
    <row r="63" spans="1:7" x14ac:dyDescent="0.2">
      <c r="A63" s="9" t="s">
        <v>151</v>
      </c>
      <c r="B63" s="35">
        <v>58340</v>
      </c>
      <c r="C63" s="35">
        <v>0</v>
      </c>
      <c r="D63" s="35">
        <v>58340</v>
      </c>
      <c r="E63" s="35">
        <v>58340</v>
      </c>
      <c r="F63" s="35">
        <v>64240</v>
      </c>
      <c r="G63" s="33">
        <f>IF(AND(F67&lt;&gt;0,64240&lt;&gt;0),IF(100*64240/(F67-0)&lt;0.005,"*",100*64240/(F67-0)),0)</f>
        <v>5.0428413867813813</v>
      </c>
    </row>
    <row r="64" spans="1:7" x14ac:dyDescent="0.2">
      <c r="A64" s="9" t="s">
        <v>152</v>
      </c>
      <c r="B64" s="35">
        <v>0</v>
      </c>
      <c r="C64" s="35">
        <v>0</v>
      </c>
      <c r="D64" s="35">
        <v>0</v>
      </c>
      <c r="E64" s="35">
        <v>0</v>
      </c>
      <c r="F64" s="35">
        <v>0</v>
      </c>
      <c r="G64" s="33">
        <v>0</v>
      </c>
    </row>
    <row r="65" spans="1:7" x14ac:dyDescent="0.2">
      <c r="A65" s="9" t="s">
        <v>183</v>
      </c>
      <c r="B65" s="35">
        <v>14585</v>
      </c>
      <c r="C65" s="35">
        <v>0</v>
      </c>
      <c r="D65" s="35">
        <v>14585</v>
      </c>
      <c r="E65" s="35">
        <v>14585</v>
      </c>
      <c r="F65" s="35">
        <v>16060</v>
      </c>
      <c r="G65" s="33">
        <f>IF(AND(F67&lt;&gt;0,16060&lt;&gt;0),IF(100*16060/(F67-0)&lt;0.005,"*",100*16060/(F67-0)),0)</f>
        <v>1.2607103466953453</v>
      </c>
    </row>
    <row r="66" spans="1:7" x14ac:dyDescent="0.2">
      <c r="A66" s="9" t="s">
        <v>173</v>
      </c>
      <c r="B66" s="35">
        <v>4000</v>
      </c>
      <c r="C66" s="35">
        <v>0</v>
      </c>
      <c r="D66" s="35">
        <v>14585</v>
      </c>
      <c r="E66" s="35">
        <v>14585</v>
      </c>
      <c r="F66" s="35">
        <v>16060</v>
      </c>
      <c r="G66" s="33">
        <f>IF(AND(F67&lt;&gt;0,16060&lt;&gt;0),IF(100*16060/(F67-0)&lt;0.005,"*",100*16060/(F67-0)),0)</f>
        <v>1.2607103466953453</v>
      </c>
    </row>
    <row r="67" spans="1:7" ht="15" customHeight="1" x14ac:dyDescent="0.2">
      <c r="A67" s="32" t="s">
        <v>93</v>
      </c>
      <c r="B67" s="31">
        <f>16442+3545+19827+5300+85592+10174+18738+5179+4567+43027+36548+4972+2868+56874+26182+8508+9812+16702+13865+3019+23301+44973+32082+23368+6293+24669+3191+10595+2580+4582+26374+8308+101983+69638+2506+70125+24910+19409+55337+6634+9867+1711+37702+59844+12592+3945+21329+41883+8727+24511+2815+0+0+0+0+0+0+58340+0+14585+4000+0</f>
        <v>1254450</v>
      </c>
      <c r="C67" s="31">
        <f>0+0+0+0+0+0+0+0+0+0+0+0+0+0+0+0+0+0+0+0+0+0+0+0+0+0+0+0+0+0+0+0+0+0+0+0+0+0+0+0+0+0+0+0+0+0+0+0+0+0+0+0+0+0+0+0+0+0+0+0+0+0</f>
        <v>0</v>
      </c>
      <c r="D67" s="31">
        <f>16442+3545+19827+5300+85592+10174+18738+5179+4567+43027+36548+4972+2868+56874+26182+8508+9812+16702+13865+3019+23301+44973+32082+23368+6293+24669+3191+10595+2580+4582+26374+8308+101984+69639+2506+70124+24910+19409+55337+6634+9867+1711+37702+59843+12592+3945+21329+41883+8727+24511+2815+0+0+0+0+0+0+58340+0+14585+14585+0</f>
        <v>1265035</v>
      </c>
      <c r="E67" s="31">
        <f>SUM(C67:D67)</f>
        <v>1265035</v>
      </c>
      <c r="F67" s="31">
        <f>16442+3545+19827+5300+85592+10174+18738+5179+4567+43027+36548+4972+2868+56873+26182+8508+9812+16702+13865+3019+23301+44973+32082+23368+6293+24669+3191+10595+2580+4582+26374+8308+101984+69639+2506+70125+24910+19409+55337+6634+9867+1711+37702+59844+12592+3945+21329+41882+8727+24511+2815+0+0+0+0+0+0+64240+0+16060+16060+0</f>
        <v>1273885</v>
      </c>
      <c r="G67" s="30" t="s">
        <v>153</v>
      </c>
    </row>
    <row r="68" spans="1:7" ht="15" customHeight="1" x14ac:dyDescent="0.2">
      <c r="A68" s="66" t="s">
        <v>155</v>
      </c>
      <c r="B68" s="66"/>
      <c r="C68" s="66"/>
      <c r="D68" s="66"/>
      <c r="E68" s="66"/>
      <c r="F68" s="66"/>
      <c r="G68" s="66"/>
    </row>
  </sheetData>
  <mergeCells count="5">
    <mergeCell ref="A68:G68"/>
    <mergeCell ref="A4:A5"/>
    <mergeCell ref="B4:B5"/>
    <mergeCell ref="F4:F5"/>
    <mergeCell ref="G4:G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zoomScale="98" zoomScaleNormal="98"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187</v>
      </c>
    </row>
    <row r="2" spans="1:7" x14ac:dyDescent="0.2">
      <c r="A2" s="11" t="s">
        <v>189</v>
      </c>
      <c r="B2" s="12"/>
      <c r="C2" s="12"/>
      <c r="D2" s="12"/>
      <c r="E2" s="12"/>
      <c r="F2" s="12"/>
      <c r="G2" s="12"/>
    </row>
    <row r="3" spans="1:7" x14ac:dyDescent="0.2">
      <c r="A3" s="12" t="s">
        <v>85</v>
      </c>
      <c r="B3" s="12"/>
      <c r="C3" s="12"/>
      <c r="D3" s="12"/>
      <c r="E3" s="12"/>
      <c r="F3" s="12"/>
      <c r="G3" s="12"/>
    </row>
    <row r="4" spans="1:7" x14ac:dyDescent="0.2">
      <c r="A4" s="74" t="s">
        <v>86</v>
      </c>
      <c r="B4" s="76" t="s">
        <v>87</v>
      </c>
      <c r="C4" s="37" t="s">
        <v>88</v>
      </c>
      <c r="D4" s="37"/>
      <c r="E4" s="37"/>
      <c r="F4" s="76" t="s">
        <v>89</v>
      </c>
      <c r="G4" s="78" t="s">
        <v>90</v>
      </c>
    </row>
    <row r="5" spans="1:7" ht="25.5" customHeight="1" x14ac:dyDescent="0.2">
      <c r="A5" s="75"/>
      <c r="B5" s="77"/>
      <c r="C5" s="36" t="s">
        <v>91</v>
      </c>
      <c r="D5" s="36" t="s">
        <v>92</v>
      </c>
      <c r="E5" s="36" t="s">
        <v>93</v>
      </c>
      <c r="F5" s="77"/>
      <c r="G5" s="79"/>
    </row>
    <row r="6" spans="1:7" x14ac:dyDescent="0.2">
      <c r="A6" s="9" t="s">
        <v>94</v>
      </c>
      <c r="B6" s="35">
        <v>24674</v>
      </c>
      <c r="C6" s="35">
        <v>0</v>
      </c>
      <c r="D6" s="35">
        <v>23832</v>
      </c>
      <c r="E6" s="35">
        <v>23832</v>
      </c>
      <c r="F6" s="35">
        <v>27961</v>
      </c>
      <c r="G6" s="33">
        <f>IF(AND(F65&lt;&gt;0,27961&lt;&gt;0),IF(100*27961/(F65-0)&lt;0.005,"*",100*27961/(F65-0)),0)</f>
        <v>1.4426904492251491</v>
      </c>
    </row>
    <row r="7" spans="1:7" x14ac:dyDescent="0.2">
      <c r="A7" s="9" t="s">
        <v>95</v>
      </c>
      <c r="B7" s="35">
        <v>4316</v>
      </c>
      <c r="C7" s="35">
        <v>0</v>
      </c>
      <c r="D7" s="35">
        <v>4168</v>
      </c>
      <c r="E7" s="35">
        <v>4168</v>
      </c>
      <c r="F7" s="35">
        <v>4890</v>
      </c>
      <c r="G7" s="33">
        <f>IF(AND(F65&lt;&gt;0,4890&lt;&gt;0),IF(100*4890/(F65-0)&lt;0.005,"*",100*4890/(F65-0)),0)</f>
        <v>0.25230700964597041</v>
      </c>
    </row>
    <row r="8" spans="1:7" x14ac:dyDescent="0.2">
      <c r="A8" s="9" t="s">
        <v>96</v>
      </c>
      <c r="B8" s="35">
        <v>38130</v>
      </c>
      <c r="C8" s="35">
        <v>0</v>
      </c>
      <c r="D8" s="35">
        <v>36830</v>
      </c>
      <c r="E8" s="35">
        <v>36830</v>
      </c>
      <c r="F8" s="35">
        <v>43209</v>
      </c>
      <c r="G8" s="33">
        <f>IF(AND(F65&lt;&gt;0,43209&lt;&gt;0),IF(100*43209/(F65-0)&lt;0.005,"*",100*43209/(F65-0)),0)</f>
        <v>2.2294342698962653</v>
      </c>
    </row>
    <row r="9" spans="1:7" x14ac:dyDescent="0.2">
      <c r="A9" s="9" t="s">
        <v>97</v>
      </c>
      <c r="B9" s="35">
        <v>16595</v>
      </c>
      <c r="C9" s="35">
        <v>0</v>
      </c>
      <c r="D9" s="35">
        <v>16029</v>
      </c>
      <c r="E9" s="35">
        <v>16029</v>
      </c>
      <c r="F9" s="35">
        <v>18805</v>
      </c>
      <c r="G9" s="33">
        <f>IF(AND(F65&lt;&gt;0,18805&lt;&gt;0),IF(100*18805/(F65-0)&lt;0.005,"*",100*18805/(F65-0)),0)</f>
        <v>0.97027266183895178</v>
      </c>
    </row>
    <row r="10" spans="1:7" x14ac:dyDescent="0.2">
      <c r="A10" s="9" t="s">
        <v>98</v>
      </c>
      <c r="B10" s="35">
        <v>215042</v>
      </c>
      <c r="C10" s="35">
        <v>0</v>
      </c>
      <c r="D10" s="35">
        <v>207711</v>
      </c>
      <c r="E10" s="35">
        <v>207711</v>
      </c>
      <c r="F10" s="35">
        <v>243689</v>
      </c>
      <c r="G10" s="33">
        <f>IF(AND(F65&lt;&gt;0,243689&lt;&gt;0),IF(100*243689/(F65-0)&lt;0.005,"*",100*243689/(F65-0)),0)</f>
        <v>12.573505700126153</v>
      </c>
    </row>
    <row r="11" spans="1:7" x14ac:dyDescent="0.2">
      <c r="A11" s="9" t="s">
        <v>99</v>
      </c>
      <c r="B11" s="35">
        <v>29732</v>
      </c>
      <c r="C11" s="35">
        <v>0</v>
      </c>
      <c r="D11" s="35">
        <v>28718</v>
      </c>
      <c r="E11" s="35">
        <v>28718</v>
      </c>
      <c r="F11" s="35">
        <v>33693</v>
      </c>
      <c r="G11" s="33">
        <f>IF(AND(F65&lt;&gt;0,33693&lt;&gt;0),IF(100*33693/(F65-0)&lt;0.005,"*",100*33693/(F65-0)),0)</f>
        <v>1.7384417333336772</v>
      </c>
    </row>
    <row r="12" spans="1:7" x14ac:dyDescent="0.2">
      <c r="A12" s="9" t="s">
        <v>100</v>
      </c>
      <c r="B12" s="35">
        <v>16618</v>
      </c>
      <c r="C12" s="35">
        <v>0</v>
      </c>
      <c r="D12" s="35">
        <v>16052</v>
      </c>
      <c r="E12" s="35">
        <v>16052</v>
      </c>
      <c r="F12" s="35">
        <v>18832</v>
      </c>
      <c r="G12" s="33">
        <f>IF(AND(F65&lt;&gt;0,18832&lt;&gt;0),IF(100*18832/(F65-0)&lt;0.005,"*",100*18832/(F65-0)),0)</f>
        <v>0.97166576802718108</v>
      </c>
    </row>
    <row r="13" spans="1:7" x14ac:dyDescent="0.2">
      <c r="A13" s="9" t="s">
        <v>101</v>
      </c>
      <c r="B13" s="35">
        <v>4625</v>
      </c>
      <c r="C13" s="35">
        <v>0</v>
      </c>
      <c r="D13" s="35">
        <v>4467</v>
      </c>
      <c r="E13" s="35">
        <v>4467</v>
      </c>
      <c r="F13" s="35">
        <v>5241</v>
      </c>
      <c r="G13" s="33">
        <f>IF(AND(F65&lt;&gt;0,5241&lt;&gt;0),IF(100*5241/(F65-0)&lt;0.005,"*",100*5241/(F65-0)),0)</f>
        <v>0.27041739009295113</v>
      </c>
    </row>
    <row r="14" spans="1:7" x14ac:dyDescent="0.2">
      <c r="A14" s="9" t="s">
        <v>102</v>
      </c>
      <c r="B14" s="35">
        <v>2912</v>
      </c>
      <c r="C14" s="35">
        <v>0</v>
      </c>
      <c r="D14" s="35">
        <v>2812</v>
      </c>
      <c r="E14" s="35">
        <v>2812</v>
      </c>
      <c r="F14" s="35">
        <v>3299</v>
      </c>
      <c r="G14" s="33">
        <f>IF(AND(F65&lt;&gt;0,3299&lt;&gt;0),IF(100*3299/(F65-0)&lt;0.005,"*",100*3299/(F65-0)),0)</f>
        <v>0.17021693759142259</v>
      </c>
    </row>
    <row r="15" spans="1:7" x14ac:dyDescent="0.2">
      <c r="A15" s="9" t="s">
        <v>103</v>
      </c>
      <c r="B15" s="35">
        <v>95591</v>
      </c>
      <c r="C15" s="35">
        <v>0</v>
      </c>
      <c r="D15" s="35">
        <v>92331</v>
      </c>
      <c r="E15" s="35">
        <v>92331</v>
      </c>
      <c r="F15" s="35">
        <v>108325</v>
      </c>
      <c r="G15" s="33">
        <f>IF(AND(F65&lt;&gt;0,108325&lt;&gt;0),IF(100*108325/(F65-0)&lt;0.005,"*",100*108325/(F65-0)),0)</f>
        <v>5.5891936237013802</v>
      </c>
    </row>
    <row r="16" spans="1:7" x14ac:dyDescent="0.2">
      <c r="A16" s="9" t="s">
        <v>104</v>
      </c>
      <c r="B16" s="35">
        <v>58649</v>
      </c>
      <c r="C16" s="35">
        <v>0</v>
      </c>
      <c r="D16" s="35">
        <v>56650</v>
      </c>
      <c r="E16" s="35">
        <v>56650</v>
      </c>
      <c r="F16" s="35">
        <v>66462</v>
      </c>
      <c r="G16" s="33">
        <f>IF(AND(F65&lt;&gt;0,66462&lt;&gt;0),IF(100*66462/(F65-0)&lt;0.005,"*",100*66462/(F65-0)),0)</f>
        <v>3.4292082771146193</v>
      </c>
    </row>
    <row r="17" spans="1:7" x14ac:dyDescent="0.2">
      <c r="A17" s="9" t="s">
        <v>105</v>
      </c>
      <c r="B17" s="35">
        <v>7257</v>
      </c>
      <c r="C17" s="35">
        <v>0</v>
      </c>
      <c r="D17" s="35">
        <v>7010</v>
      </c>
      <c r="E17" s="35">
        <v>7010</v>
      </c>
      <c r="F17" s="35">
        <v>8224</v>
      </c>
      <c r="G17" s="33">
        <f>IF(AND(F65&lt;&gt;0,8224&lt;&gt;0),IF(100*8224/(F65-0)&lt;0.005,"*",100*8224/(F65-0)),0)</f>
        <v>0.42432982562954208</v>
      </c>
    </row>
    <row r="18" spans="1:7" x14ac:dyDescent="0.2">
      <c r="A18" s="9" t="s">
        <v>106</v>
      </c>
      <c r="B18" s="35">
        <v>9800</v>
      </c>
      <c r="C18" s="35">
        <v>0</v>
      </c>
      <c r="D18" s="35">
        <v>9466</v>
      </c>
      <c r="E18" s="35">
        <v>9466</v>
      </c>
      <c r="F18" s="35">
        <v>11106</v>
      </c>
      <c r="G18" s="33">
        <f>IF(AND(F65&lt;&gt;0,11106&lt;&gt;0),IF(100*11106/(F65-0)&lt;0.005,"*",100*11106/(F65-0)),0)</f>
        <v>0.57303101209164575</v>
      </c>
    </row>
    <row r="19" spans="1:7" x14ac:dyDescent="0.2">
      <c r="A19" s="9" t="s">
        <v>107</v>
      </c>
      <c r="B19" s="35">
        <v>66329</v>
      </c>
      <c r="C19" s="35">
        <v>0</v>
      </c>
      <c r="D19" s="35">
        <v>64067</v>
      </c>
      <c r="E19" s="35">
        <v>64067</v>
      </c>
      <c r="F19" s="35">
        <v>75165</v>
      </c>
      <c r="G19" s="33">
        <f>IF(AND(F65&lt;&gt;0,75165&lt;&gt;0),IF(100*75165/(F65-0)&lt;0.005,"*",100*75165/(F65-0)),0)</f>
        <v>3.8782528384538586</v>
      </c>
    </row>
    <row r="20" spans="1:7" x14ac:dyDescent="0.2">
      <c r="A20" s="9" t="s">
        <v>108</v>
      </c>
      <c r="B20" s="35">
        <v>36832</v>
      </c>
      <c r="C20" s="35">
        <v>0</v>
      </c>
      <c r="D20" s="35">
        <v>35577</v>
      </c>
      <c r="E20" s="35">
        <v>35577</v>
      </c>
      <c r="F20" s="35">
        <v>41739</v>
      </c>
      <c r="G20" s="33">
        <f>IF(AND(F65&lt;&gt;0,41739&lt;&gt;0),IF(100*41739/(F65-0)&lt;0.005,"*",100*41739/(F65-0)),0)</f>
        <v>2.1535873774260041</v>
      </c>
    </row>
    <row r="21" spans="1:7" x14ac:dyDescent="0.2">
      <c r="A21" s="9" t="s">
        <v>109</v>
      </c>
      <c r="B21" s="35">
        <v>17177</v>
      </c>
      <c r="C21" s="35">
        <v>0</v>
      </c>
      <c r="D21" s="35">
        <v>16591</v>
      </c>
      <c r="E21" s="35">
        <v>16591</v>
      </c>
      <c r="F21" s="35">
        <v>19465</v>
      </c>
      <c r="G21" s="33">
        <f>IF(AND(F65&lt;&gt;0,19465&lt;&gt;0),IF(100*19465/(F65-0)&lt;0.005,"*",100*19465/(F65-0)),0)</f>
        <v>1.0043263686623343</v>
      </c>
    </row>
    <row r="22" spans="1:7" x14ac:dyDescent="0.2">
      <c r="A22" s="9" t="s">
        <v>110</v>
      </c>
      <c r="B22" s="35">
        <v>16404</v>
      </c>
      <c r="C22" s="35">
        <v>0</v>
      </c>
      <c r="D22" s="35">
        <v>15845</v>
      </c>
      <c r="E22" s="35">
        <v>15845</v>
      </c>
      <c r="F22" s="35">
        <v>18590</v>
      </c>
      <c r="G22" s="33">
        <f>IF(AND(F65&lt;&gt;0,18590&lt;&gt;0),IF(100*18590/(F65-0)&lt;0.005,"*",100*18590/(F65-0)),0)</f>
        <v>0.95917940885860742</v>
      </c>
    </row>
    <row r="23" spans="1:7" x14ac:dyDescent="0.2">
      <c r="A23" s="9" t="s">
        <v>111</v>
      </c>
      <c r="B23" s="35">
        <v>23784</v>
      </c>
      <c r="C23" s="35">
        <v>0</v>
      </c>
      <c r="D23" s="35">
        <v>22973</v>
      </c>
      <c r="E23" s="35">
        <v>22973</v>
      </c>
      <c r="F23" s="35">
        <v>26952</v>
      </c>
      <c r="G23" s="33">
        <f>IF(AND(F65&lt;&gt;0,26952&lt;&gt;0),IF(100*26952/(F65-0)&lt;0.005,"*",100*26952/(F65-0)),0)</f>
        <v>1.3906295550057659</v>
      </c>
    </row>
    <row r="24" spans="1:7" x14ac:dyDescent="0.2">
      <c r="A24" s="9" t="s">
        <v>112</v>
      </c>
      <c r="B24" s="35">
        <v>26403</v>
      </c>
      <c r="C24" s="35">
        <v>0</v>
      </c>
      <c r="D24" s="35">
        <v>25503</v>
      </c>
      <c r="E24" s="35">
        <v>25503</v>
      </c>
      <c r="F24" s="35">
        <v>29921</v>
      </c>
      <c r="G24" s="33">
        <f>IF(AND(F65&lt;&gt;0,29921&lt;&gt;0),IF(100*29921/(F65-0)&lt;0.005,"*",100*29921/(F65-0)),0)</f>
        <v>1.5438196391854973</v>
      </c>
    </row>
    <row r="25" spans="1:7" x14ac:dyDescent="0.2">
      <c r="A25" s="9" t="s">
        <v>113</v>
      </c>
      <c r="B25" s="35">
        <v>5634</v>
      </c>
      <c r="C25" s="35">
        <v>0</v>
      </c>
      <c r="D25" s="35">
        <v>5442</v>
      </c>
      <c r="E25" s="35">
        <v>5442</v>
      </c>
      <c r="F25" s="35">
        <v>6385</v>
      </c>
      <c r="G25" s="33">
        <f>IF(AND(F65&lt;&gt;0,6385&lt;&gt;0),IF(100*6385/(F65-0)&lt;0.005,"*",100*6385/(F65-0)),0)</f>
        <v>0.32944381525348082</v>
      </c>
    </row>
    <row r="26" spans="1:7" x14ac:dyDescent="0.2">
      <c r="A26" s="9" t="s">
        <v>114</v>
      </c>
      <c r="B26" s="35">
        <v>30490</v>
      </c>
      <c r="C26" s="35">
        <v>0</v>
      </c>
      <c r="D26" s="35">
        <v>29450</v>
      </c>
      <c r="E26" s="35">
        <v>29450</v>
      </c>
      <c r="F26" s="35">
        <v>34551</v>
      </c>
      <c r="G26" s="33">
        <f>IF(AND(F65&lt;&gt;0,34551&lt;&gt;0),IF(100*34551/(F65-0)&lt;0.005,"*",100*34551/(F65-0)),0)</f>
        <v>1.7827115522040746</v>
      </c>
    </row>
    <row r="27" spans="1:7" x14ac:dyDescent="0.2">
      <c r="A27" s="9" t="s">
        <v>115</v>
      </c>
      <c r="B27" s="35">
        <v>31966</v>
      </c>
      <c r="C27" s="35">
        <v>0</v>
      </c>
      <c r="D27" s="35">
        <v>30876</v>
      </c>
      <c r="E27" s="35">
        <v>30876</v>
      </c>
      <c r="F27" s="35">
        <v>36225</v>
      </c>
      <c r="G27" s="33">
        <f>IF(AND(F65&lt;&gt;0,36225&lt;&gt;0),IF(100*36225/(F65-0)&lt;0.005,"*",100*36225/(F65-0)),0)</f>
        <v>1.8690841358742902</v>
      </c>
    </row>
    <row r="28" spans="1:7" x14ac:dyDescent="0.2">
      <c r="A28" s="9" t="s">
        <v>116</v>
      </c>
      <c r="B28" s="35">
        <v>48724</v>
      </c>
      <c r="C28" s="35">
        <v>0</v>
      </c>
      <c r="D28" s="35">
        <v>47063</v>
      </c>
      <c r="E28" s="35">
        <v>47063</v>
      </c>
      <c r="F28" s="35">
        <v>55215</v>
      </c>
      <c r="G28" s="33">
        <f>IF(AND(F65&lt;&gt;0,55215&lt;&gt;0),IF(100*55215/(F65-0)&lt;0.005,"*",100*55215/(F65-0)),0)</f>
        <v>2.8489021549288869</v>
      </c>
    </row>
    <row r="29" spans="1:7" x14ac:dyDescent="0.2">
      <c r="A29" s="9" t="s">
        <v>117</v>
      </c>
      <c r="B29" s="35">
        <v>30250</v>
      </c>
      <c r="C29" s="35">
        <v>0</v>
      </c>
      <c r="D29" s="35">
        <v>29219</v>
      </c>
      <c r="E29" s="35">
        <v>29219</v>
      </c>
      <c r="F29" s="35">
        <v>34280</v>
      </c>
      <c r="G29" s="33">
        <f>IF(AND(F65&lt;&gt;0,34280&lt;&gt;0),IF(100*34280/(F65-0)&lt;0.005,"*",100*34280/(F65-0)),0)</f>
        <v>1.7687288937962917</v>
      </c>
    </row>
    <row r="30" spans="1:7" x14ac:dyDescent="0.2">
      <c r="A30" s="9" t="s">
        <v>118</v>
      </c>
      <c r="B30" s="35">
        <v>16422</v>
      </c>
      <c r="C30" s="35">
        <v>0</v>
      </c>
      <c r="D30" s="35">
        <v>15862</v>
      </c>
      <c r="E30" s="35">
        <v>15862</v>
      </c>
      <c r="F30" s="35">
        <v>18609</v>
      </c>
      <c r="G30" s="33">
        <f>IF(AND(F65&lt;&gt;0,18609&lt;&gt;0),IF(100*18609/(F65-0)&lt;0.005,"*",100*18609/(F65-0)),0)</f>
        <v>0.96015974284291694</v>
      </c>
    </row>
    <row r="31" spans="1:7" x14ac:dyDescent="0.2">
      <c r="A31" s="9" t="s">
        <v>119</v>
      </c>
      <c r="B31" s="35">
        <v>32609</v>
      </c>
      <c r="C31" s="35">
        <v>0</v>
      </c>
      <c r="D31" s="35">
        <v>31498</v>
      </c>
      <c r="E31" s="35">
        <v>31498</v>
      </c>
      <c r="F31" s="35">
        <v>36954</v>
      </c>
      <c r="G31" s="33">
        <f>IF(AND(F65&lt;&gt;0,36954&lt;&gt;0),IF(100*36954/(F65-0)&lt;0.005,"*",100*36954/(F65-0)),0)</f>
        <v>1.9066980029564808</v>
      </c>
    </row>
    <row r="32" spans="1:7" x14ac:dyDescent="0.2">
      <c r="A32" s="9" t="s">
        <v>120</v>
      </c>
      <c r="B32" s="35">
        <v>5358</v>
      </c>
      <c r="C32" s="35">
        <v>0</v>
      </c>
      <c r="D32" s="35">
        <v>5176</v>
      </c>
      <c r="E32" s="35">
        <v>5176</v>
      </c>
      <c r="F32" s="35">
        <v>6072</v>
      </c>
      <c r="G32" s="33">
        <f>IF(AND(F65&lt;&gt;0,6072&lt;&gt;0),IF(100*6072/(F65-0)&lt;0.005,"*",100*6072/(F65-0)),0)</f>
        <v>0.3132941027751191</v>
      </c>
    </row>
    <row r="33" spans="1:7" x14ac:dyDescent="0.2">
      <c r="A33" s="9" t="s">
        <v>121</v>
      </c>
      <c r="B33" s="35">
        <v>10811</v>
      </c>
      <c r="C33" s="35">
        <v>0</v>
      </c>
      <c r="D33" s="35">
        <v>10442</v>
      </c>
      <c r="E33" s="35">
        <v>10442</v>
      </c>
      <c r="F33" s="35">
        <v>12251</v>
      </c>
      <c r="G33" s="33">
        <f>IF(AND(F65&lt;&gt;0,12251&lt;&gt;0),IF(100*12251/(F65-0)&lt;0.005,"*",100*12251/(F65-0)),0)</f>
        <v>0.63210903377766536</v>
      </c>
    </row>
    <row r="34" spans="1:7" x14ac:dyDescent="0.2">
      <c r="A34" s="9" t="s">
        <v>122</v>
      </c>
      <c r="B34" s="35">
        <v>15197</v>
      </c>
      <c r="C34" s="35">
        <v>0</v>
      </c>
      <c r="D34" s="35">
        <v>14678</v>
      </c>
      <c r="E34" s="35">
        <v>14678</v>
      </c>
      <c r="F34" s="35">
        <v>17221</v>
      </c>
      <c r="G34" s="33">
        <f>IF(AND(F65&lt;&gt;0,17221&lt;&gt;0),IF(100*17221/(F65-0)&lt;0.005,"*",100*17221/(F65-0)),0)</f>
        <v>0.88854376546283376</v>
      </c>
    </row>
    <row r="35" spans="1:7" x14ac:dyDescent="0.2">
      <c r="A35" s="9" t="s">
        <v>123</v>
      </c>
      <c r="B35" s="35">
        <v>5953</v>
      </c>
      <c r="C35" s="35">
        <v>0</v>
      </c>
      <c r="D35" s="35">
        <v>5750</v>
      </c>
      <c r="E35" s="35">
        <v>5750</v>
      </c>
      <c r="F35" s="35">
        <v>6746</v>
      </c>
      <c r="G35" s="33">
        <f>IF(AND(F65&lt;&gt;0,6746&lt;&gt;0),IF(100*6746/(F65-0)&lt;0.005,"*",100*6746/(F65-0)),0)</f>
        <v>0.34807016095536125</v>
      </c>
    </row>
    <row r="36" spans="1:7" x14ac:dyDescent="0.2">
      <c r="A36" s="9" t="s">
        <v>124</v>
      </c>
      <c r="B36" s="35">
        <v>46356</v>
      </c>
      <c r="C36" s="35">
        <v>0</v>
      </c>
      <c r="D36" s="35">
        <v>44776</v>
      </c>
      <c r="E36" s="35">
        <v>44776</v>
      </c>
      <c r="F36" s="35">
        <v>52532</v>
      </c>
      <c r="G36" s="33">
        <f>IF(AND(F65&lt;&gt;0,52532&lt;&gt;0),IF(100*52532/(F65-0)&lt;0.005,"*",100*52532/(F65-0)),0)</f>
        <v>2.7104686770392883</v>
      </c>
    </row>
    <row r="37" spans="1:7" x14ac:dyDescent="0.2">
      <c r="A37" s="9" t="s">
        <v>125</v>
      </c>
      <c r="B37" s="35">
        <v>11739</v>
      </c>
      <c r="C37" s="35">
        <v>0</v>
      </c>
      <c r="D37" s="35">
        <v>11339</v>
      </c>
      <c r="E37" s="35">
        <v>11339</v>
      </c>
      <c r="F37" s="35">
        <v>13303</v>
      </c>
      <c r="G37" s="33">
        <f>IF(AND(F65&lt;&gt;0,13303&lt;&gt;0),IF(100*13303/(F65-0)&lt;0.005,"*",100*13303/(F65-0)),0)</f>
        <v>0.68638857859311753</v>
      </c>
    </row>
    <row r="38" spans="1:7" x14ac:dyDescent="0.2">
      <c r="A38" s="9" t="s">
        <v>126</v>
      </c>
      <c r="B38" s="35">
        <v>98708</v>
      </c>
      <c r="C38" s="35">
        <v>0</v>
      </c>
      <c r="D38" s="35">
        <v>95343</v>
      </c>
      <c r="E38" s="35">
        <v>95343</v>
      </c>
      <c r="F38" s="35">
        <v>111858</v>
      </c>
      <c r="G38" s="33">
        <f>IF(AND(F65&lt;&gt;0,111858&lt;&gt;0),IF(100*111858/(F65-0)&lt;0.005,"*",100*111858/(F65-0)),0)</f>
        <v>5.7714841482574561</v>
      </c>
    </row>
    <row r="39" spans="1:7" x14ac:dyDescent="0.2">
      <c r="A39" s="9" t="s">
        <v>127</v>
      </c>
      <c r="B39" s="35">
        <v>53573</v>
      </c>
      <c r="C39" s="35">
        <v>0</v>
      </c>
      <c r="D39" s="35">
        <v>51746</v>
      </c>
      <c r="E39" s="35">
        <v>51746</v>
      </c>
      <c r="F39" s="35">
        <v>60710</v>
      </c>
      <c r="G39" s="33">
        <f>IF(AND(F65&lt;&gt;0,60710&lt;&gt;0),IF(100*60710/(F65-0)&lt;0.005,"*",100*60710/(F65-0)),0)</f>
        <v>3.1324250624962917</v>
      </c>
    </row>
    <row r="40" spans="1:7" x14ac:dyDescent="0.2">
      <c r="A40" s="9" t="s">
        <v>128</v>
      </c>
      <c r="B40" s="35">
        <v>4271</v>
      </c>
      <c r="C40" s="35">
        <v>0</v>
      </c>
      <c r="D40" s="35">
        <v>4125</v>
      </c>
      <c r="E40" s="35">
        <v>4125</v>
      </c>
      <c r="F40" s="35">
        <v>4840</v>
      </c>
      <c r="G40" s="33">
        <f>IF(AND(F65&lt;&gt;0,4840&lt;&gt;0),IF(100*4840/(F65-0)&lt;0.005,"*",100*4840/(F65-0)),0)</f>
        <v>0.24972718337147176</v>
      </c>
    </row>
    <row r="41" spans="1:7" x14ac:dyDescent="0.2">
      <c r="A41" s="9" t="s">
        <v>129</v>
      </c>
      <c r="B41" s="35">
        <v>60869</v>
      </c>
      <c r="C41" s="35">
        <v>0</v>
      </c>
      <c r="D41" s="35">
        <v>58794</v>
      </c>
      <c r="E41" s="35">
        <v>58794</v>
      </c>
      <c r="F41" s="35">
        <v>68978</v>
      </c>
      <c r="G41" s="33">
        <f>IF(AND(F65&lt;&gt;0,68978&lt;&gt;0),IF(100*68978/(F65-0)&lt;0.005,"*",100*68978/(F65-0)),0)</f>
        <v>3.5590251352473925</v>
      </c>
    </row>
    <row r="42" spans="1:7" x14ac:dyDescent="0.2">
      <c r="A42" s="9" t="s">
        <v>130</v>
      </c>
      <c r="B42" s="35">
        <v>22880</v>
      </c>
      <c r="C42" s="35">
        <v>0</v>
      </c>
      <c r="D42" s="35">
        <v>22100</v>
      </c>
      <c r="E42" s="35">
        <v>22100</v>
      </c>
      <c r="F42" s="35">
        <v>25928</v>
      </c>
      <c r="G42" s="33">
        <f>IF(AND(F65&lt;&gt;0,25928&lt;&gt;0),IF(100*25928/(F65-0)&lt;0.005,"*",100*25928/(F65-0)),0)</f>
        <v>1.3377947129040331</v>
      </c>
    </row>
    <row r="43" spans="1:7" x14ac:dyDescent="0.2">
      <c r="A43" s="9" t="s">
        <v>131</v>
      </c>
      <c r="B43" s="35">
        <v>20242</v>
      </c>
      <c r="C43" s="35">
        <v>0</v>
      </c>
      <c r="D43" s="35">
        <v>19552</v>
      </c>
      <c r="E43" s="35">
        <v>19552</v>
      </c>
      <c r="F43" s="35">
        <v>22939</v>
      </c>
      <c r="G43" s="33">
        <f>IF(AND(F65&lt;&gt;0,22939&lt;&gt;0),IF(100*22939/(F65-0)&lt;0.005,"*",100*22939/(F65-0)),0)</f>
        <v>1.1835726982145023</v>
      </c>
    </row>
    <row r="44" spans="1:7" x14ac:dyDescent="0.2">
      <c r="A44" s="9" t="s">
        <v>132</v>
      </c>
      <c r="B44" s="35">
        <v>62345</v>
      </c>
      <c r="C44" s="35">
        <v>0</v>
      </c>
      <c r="D44" s="35">
        <v>60220</v>
      </c>
      <c r="E44" s="35">
        <v>60220</v>
      </c>
      <c r="F44" s="35">
        <v>70651</v>
      </c>
      <c r="G44" s="33">
        <f>IF(AND(F65&lt;&gt;0,70651&lt;&gt;0),IF(100*70651/(F65-0)&lt;0.005,"*",100*70651/(F65-0)),0)</f>
        <v>3.6453461223921182</v>
      </c>
    </row>
    <row r="45" spans="1:7" x14ac:dyDescent="0.2">
      <c r="A45" s="9" t="s">
        <v>133</v>
      </c>
      <c r="B45" s="35">
        <v>4668</v>
      </c>
      <c r="C45" s="35">
        <v>0</v>
      </c>
      <c r="D45" s="35">
        <v>4509</v>
      </c>
      <c r="E45" s="35">
        <v>4509</v>
      </c>
      <c r="F45" s="35">
        <v>5290</v>
      </c>
      <c r="G45" s="33">
        <f>IF(AND(F65&lt;&gt;0,5290&lt;&gt;0),IF(100*5290/(F65-0)&lt;0.005,"*",100*5290/(F65-0)),0)</f>
        <v>0.27294561984195986</v>
      </c>
    </row>
    <row r="46" spans="1:7" x14ac:dyDescent="0.2">
      <c r="A46" s="9" t="s">
        <v>134</v>
      </c>
      <c r="B46" s="35">
        <v>24675</v>
      </c>
      <c r="C46" s="35">
        <v>0</v>
      </c>
      <c r="D46" s="35">
        <v>23833</v>
      </c>
      <c r="E46" s="35">
        <v>23833</v>
      </c>
      <c r="F46" s="35">
        <v>27962</v>
      </c>
      <c r="G46" s="33">
        <f>IF(AND(F65&lt;&gt;0,27962&lt;&gt;0),IF(100*27962/(F65-0)&lt;0.005,"*",100*27962/(F65-0)),0)</f>
        <v>1.4427420457506392</v>
      </c>
    </row>
    <row r="47" spans="1:7" x14ac:dyDescent="0.2">
      <c r="A47" s="9" t="s">
        <v>135</v>
      </c>
      <c r="B47" s="35">
        <v>5116</v>
      </c>
      <c r="C47" s="35">
        <v>0</v>
      </c>
      <c r="D47" s="35">
        <v>4941</v>
      </c>
      <c r="E47" s="35">
        <v>4941</v>
      </c>
      <c r="F47" s="35">
        <v>5797</v>
      </c>
      <c r="G47" s="33">
        <f>IF(AND(F65&lt;&gt;0,5797&lt;&gt;0),IF(100*5797/(F65-0)&lt;0.005,"*",100*5797/(F65-0)),0)</f>
        <v>0.29910505826537642</v>
      </c>
    </row>
    <row r="48" spans="1:7" x14ac:dyDescent="0.2">
      <c r="A48" s="9" t="s">
        <v>136</v>
      </c>
      <c r="B48" s="35">
        <v>33745</v>
      </c>
      <c r="C48" s="35">
        <v>0</v>
      </c>
      <c r="D48" s="35">
        <v>32595</v>
      </c>
      <c r="E48" s="35">
        <v>32595</v>
      </c>
      <c r="F48" s="35">
        <v>38241</v>
      </c>
      <c r="G48" s="33">
        <f>IF(AND(F65&lt;&gt;0,38241&lt;&gt;0),IF(100*38241/(F65-0)&lt;0.005,"*",100*38241/(F65-0)),0)</f>
        <v>1.9731027312620768</v>
      </c>
    </row>
    <row r="49" spans="1:7" x14ac:dyDescent="0.2">
      <c r="A49" s="9" t="s">
        <v>137</v>
      </c>
      <c r="B49" s="35">
        <v>171126</v>
      </c>
      <c r="C49" s="35">
        <v>0</v>
      </c>
      <c r="D49" s="35">
        <v>165291</v>
      </c>
      <c r="E49" s="35">
        <v>165291</v>
      </c>
      <c r="F49" s="35">
        <v>193922</v>
      </c>
      <c r="G49" s="33">
        <f>IF(AND(F65&lt;&gt;0,193922&lt;&gt;0),IF(100*193922/(F65-0)&lt;0.005,"*",100*193922/(F65-0)),0)</f>
        <v>10.005701416066643</v>
      </c>
    </row>
    <row r="50" spans="1:7" x14ac:dyDescent="0.2">
      <c r="A50" s="9" t="s">
        <v>138</v>
      </c>
      <c r="B50" s="35">
        <v>21904</v>
      </c>
      <c r="C50" s="35">
        <v>0</v>
      </c>
      <c r="D50" s="35">
        <v>21158</v>
      </c>
      <c r="E50" s="35">
        <v>21158</v>
      </c>
      <c r="F50" s="35">
        <v>24822</v>
      </c>
      <c r="G50" s="33">
        <f>IF(AND(F65&lt;&gt;0,24822&lt;&gt;0),IF(100*24822/(F65-0)&lt;0.005,"*",100*24822/(F65-0)),0)</f>
        <v>1.2807289557121224</v>
      </c>
    </row>
    <row r="51" spans="1:7" x14ac:dyDescent="0.2">
      <c r="A51" s="9" t="s">
        <v>139</v>
      </c>
      <c r="B51" s="35">
        <v>2729</v>
      </c>
      <c r="C51" s="35">
        <v>0</v>
      </c>
      <c r="D51" s="35">
        <v>2636</v>
      </c>
      <c r="E51" s="35">
        <v>2636</v>
      </c>
      <c r="F51" s="35">
        <v>3092</v>
      </c>
      <c r="G51" s="33">
        <f>IF(AND(F65&lt;&gt;0,3092&lt;&gt;0),IF(100*3092/(F65-0)&lt;0.005,"*",100*3092/(F65-0)),0)</f>
        <v>0.15953645681499809</v>
      </c>
    </row>
    <row r="52" spans="1:7" x14ac:dyDescent="0.2">
      <c r="A52" s="9" t="s">
        <v>140</v>
      </c>
      <c r="B52" s="35">
        <v>42443</v>
      </c>
      <c r="C52" s="35">
        <v>0</v>
      </c>
      <c r="D52" s="35">
        <v>40995</v>
      </c>
      <c r="E52" s="35">
        <v>40995</v>
      </c>
      <c r="F52" s="35">
        <v>48097</v>
      </c>
      <c r="G52" s="33">
        <f>IF(AND(F65&lt;&gt;0,48097&lt;&gt;0),IF(100*48097/(F65-0)&lt;0.005,"*",100*48097/(F65-0)),0)</f>
        <v>2.4816380864912557</v>
      </c>
    </row>
    <row r="53" spans="1:7" x14ac:dyDescent="0.2">
      <c r="A53" s="9" t="s">
        <v>141</v>
      </c>
      <c r="B53" s="35">
        <v>37498</v>
      </c>
      <c r="C53" s="35">
        <v>0</v>
      </c>
      <c r="D53" s="35">
        <v>36219</v>
      </c>
      <c r="E53" s="35">
        <v>36219</v>
      </c>
      <c r="F53" s="35">
        <v>42493</v>
      </c>
      <c r="G53" s="33">
        <f>IF(AND(F65&lt;&gt;0,42493&lt;&gt;0),IF(100*42493/(F65-0)&lt;0.005,"*",100*42493/(F65-0)),0)</f>
        <v>2.1924911576454442</v>
      </c>
    </row>
    <row r="54" spans="1:7" x14ac:dyDescent="0.2">
      <c r="A54" s="9" t="s">
        <v>142</v>
      </c>
      <c r="B54" s="35">
        <v>8863</v>
      </c>
      <c r="C54" s="35">
        <v>0</v>
      </c>
      <c r="D54" s="35">
        <v>8561</v>
      </c>
      <c r="E54" s="35">
        <v>8561</v>
      </c>
      <c r="F54" s="35">
        <v>10044</v>
      </c>
      <c r="G54" s="33">
        <f>IF(AND(F65&lt;&gt;0,10044&lt;&gt;0),IF(100*10044/(F65-0)&lt;0.005,"*",100*10044/(F65-0)),0)</f>
        <v>0.51823550202129387</v>
      </c>
    </row>
    <row r="55" spans="1:7" x14ac:dyDescent="0.2">
      <c r="A55" s="9" t="s">
        <v>143</v>
      </c>
      <c r="B55" s="35">
        <v>29024</v>
      </c>
      <c r="C55" s="35">
        <v>0</v>
      </c>
      <c r="D55" s="35">
        <v>28034</v>
      </c>
      <c r="E55" s="35">
        <v>28034</v>
      </c>
      <c r="F55" s="35">
        <v>32890</v>
      </c>
      <c r="G55" s="33">
        <f>IF(AND(F65&lt;&gt;0,32890&lt;&gt;0),IF(100*32890/(F65-0)&lt;0.005,"*",100*32890/(F65-0)),0)</f>
        <v>1.6970097233652286</v>
      </c>
    </row>
    <row r="56" spans="1:7" x14ac:dyDescent="0.2">
      <c r="A56" s="9" t="s">
        <v>144</v>
      </c>
      <c r="B56" s="35">
        <v>3220</v>
      </c>
      <c r="C56" s="35">
        <v>0</v>
      </c>
      <c r="D56" s="35">
        <v>3110</v>
      </c>
      <c r="E56" s="35">
        <v>3110</v>
      </c>
      <c r="F56" s="35">
        <v>3649</v>
      </c>
      <c r="G56" s="33">
        <f>IF(AND(F65&lt;&gt;0,3649&lt;&gt;0),IF(100*3649/(F65-0)&lt;0.005,"*",100*3649/(F65-0)),0)</f>
        <v>0.18827572151291333</v>
      </c>
    </row>
    <row r="57" spans="1:7" x14ac:dyDescent="0.2">
      <c r="A57" s="9" t="s">
        <v>145</v>
      </c>
      <c r="B57" s="35">
        <v>0</v>
      </c>
      <c r="C57" s="35">
        <v>0</v>
      </c>
      <c r="D57" s="35">
        <v>0</v>
      </c>
      <c r="E57" s="35">
        <v>0</v>
      </c>
      <c r="F57" s="35">
        <v>0</v>
      </c>
      <c r="G57" s="33">
        <f>IF(AND(F65&lt;&gt;0,0&lt;&gt;0),IF(100*0/(F65-0)&lt;0.005,"*",100*0/(F65-0)),0)</f>
        <v>0</v>
      </c>
    </row>
    <row r="58" spans="1:7" x14ac:dyDescent="0.2">
      <c r="A58" s="9" t="s">
        <v>146</v>
      </c>
      <c r="B58" s="35">
        <v>0</v>
      </c>
      <c r="C58" s="35">
        <v>0</v>
      </c>
      <c r="D58" s="35">
        <v>0</v>
      </c>
      <c r="E58" s="35">
        <v>0</v>
      </c>
      <c r="F58" s="35">
        <v>0</v>
      </c>
      <c r="G58" s="33">
        <f>IF(AND(F65&lt;&gt;0,0&lt;&gt;0),IF(100*0/(F65-0)&lt;0.005,"*",100*0/(F65-0)),0)</f>
        <v>0</v>
      </c>
    </row>
    <row r="59" spans="1:7" x14ac:dyDescent="0.2">
      <c r="A59" s="9" t="s">
        <v>147</v>
      </c>
      <c r="B59" s="35">
        <v>0</v>
      </c>
      <c r="C59" s="35">
        <v>0</v>
      </c>
      <c r="D59" s="35">
        <v>0</v>
      </c>
      <c r="E59" s="35">
        <v>0</v>
      </c>
      <c r="F59" s="35">
        <v>0</v>
      </c>
      <c r="G59" s="33">
        <f>IF(AND(F65&lt;&gt;0,0&lt;&gt;0),IF(100*0/(F65-0)&lt;0.005,"*",100*0/(F65-0)),0)</f>
        <v>0</v>
      </c>
    </row>
    <row r="60" spans="1:7" x14ac:dyDescent="0.2">
      <c r="A60" s="9" t="s">
        <v>148</v>
      </c>
      <c r="B60" s="35">
        <v>0</v>
      </c>
      <c r="C60" s="35">
        <v>0</v>
      </c>
      <c r="D60" s="35">
        <v>0</v>
      </c>
      <c r="E60" s="35">
        <v>0</v>
      </c>
      <c r="F60" s="35">
        <v>0</v>
      </c>
      <c r="G60" s="33">
        <f>IF(AND(F65&lt;&gt;0,0&lt;&gt;0),IF(100*0/(F65-0)&lt;0.005,"*",100*0/(F65-0)),0)</f>
        <v>0</v>
      </c>
    </row>
    <row r="61" spans="1:7" x14ac:dyDescent="0.2">
      <c r="A61" s="9" t="s">
        <v>149</v>
      </c>
      <c r="B61" s="35">
        <v>0</v>
      </c>
      <c r="C61" s="35">
        <v>0</v>
      </c>
      <c r="D61" s="35">
        <v>0</v>
      </c>
      <c r="E61" s="35">
        <v>0</v>
      </c>
      <c r="F61" s="35">
        <v>0</v>
      </c>
      <c r="G61" s="33">
        <f>IF(AND(F65&lt;&gt;0,0&lt;&gt;0),IF(100*0/(F65-0)&lt;0.005,"*",100*0/(F65-0)),0)</f>
        <v>0</v>
      </c>
    </row>
    <row r="62" spans="1:7" x14ac:dyDescent="0.2">
      <c r="A62" s="9" t="s">
        <v>150</v>
      </c>
      <c r="B62" s="35">
        <v>0</v>
      </c>
      <c r="C62" s="35">
        <v>0</v>
      </c>
      <c r="D62" s="35">
        <v>0</v>
      </c>
      <c r="E62" s="35">
        <v>0</v>
      </c>
      <c r="F62" s="35">
        <v>0</v>
      </c>
      <c r="G62" s="33">
        <f>IF(AND(F65&lt;&gt;0,0&lt;&gt;0),IF(100*0/(F65-0)&lt;0.005,"*",100*0/(F65-0)),0)</f>
        <v>0</v>
      </c>
    </row>
    <row r="63" spans="1:7" x14ac:dyDescent="0.2">
      <c r="A63" s="9" t="s">
        <v>151</v>
      </c>
      <c r="B63" s="35">
        <v>0</v>
      </c>
      <c r="C63" s="35">
        <v>0</v>
      </c>
      <c r="D63" s="35">
        <v>0</v>
      </c>
      <c r="E63" s="35">
        <v>0</v>
      </c>
      <c r="F63" s="35">
        <v>0</v>
      </c>
      <c r="G63" s="33">
        <f>IF(AND(F65&lt;&gt;0,0&lt;&gt;0),IF(100*0/(F65-0)&lt;0.005,"*",100*0/(F65-0)),0)</f>
        <v>0</v>
      </c>
    </row>
    <row r="64" spans="1:7" x14ac:dyDescent="0.2">
      <c r="A64" s="9" t="s">
        <v>152</v>
      </c>
      <c r="B64" s="35">
        <v>0</v>
      </c>
      <c r="C64" s="35">
        <v>0</v>
      </c>
      <c r="D64" s="35">
        <v>0</v>
      </c>
      <c r="E64" s="35">
        <v>0</v>
      </c>
      <c r="F64" s="35">
        <v>0</v>
      </c>
      <c r="G64" s="33">
        <v>0</v>
      </c>
    </row>
    <row r="65" spans="1:7" ht="15" customHeight="1" x14ac:dyDescent="0.2">
      <c r="A65" s="32" t="s">
        <v>93</v>
      </c>
      <c r="B65" s="31">
        <f>24674+4316+38130+16595+215042+29732+16618+4625+2912+95591+58649+7257+9800+66329+36832+17177+16404+23784+26403+5634+30490+31966+48724+30250+16422+32609+5358+10811+15197+5953+46356+11739+98708+53573+4271+60869+22880+20242+62345+4668+24675+5116+33745+171126+21904+2729+42443+37498+8863+29024+3220+0+0+0+0+0+0+0+0+0</f>
        <v>1710278</v>
      </c>
      <c r="C65" s="31">
        <f>0+0+0+0+0+0+0+0+0+0+0+0+0+0+0+0+0+0+0+0+0+0+0+0+0+0+0+0+0+0+0+0+0+0+0+0+0+0+0+0+0+0+0+0+0+0+0+0+0+0+0+0+0+0+0+0+0+0+0+0</f>
        <v>0</v>
      </c>
      <c r="D65" s="31">
        <f>23832+4168+36830+16029+207711+28718+16052+4467+2812+92331+56650+7010+9466+64067+35577+16591+15845+22973+25503+5442+29450+30876+47063+29219+15862+31498+5176+10442+14678+5750+44776+11339+95343+51746+4125+58794+22100+19552+60220+4509+23833+4941+32595+165291+21158+2636+40995+36219+8561+28034+3110+0+0+0+0+0+0+0+0+0</f>
        <v>1651965</v>
      </c>
      <c r="E65" s="31">
        <f>SUM(C65:D65)</f>
        <v>1651965</v>
      </c>
      <c r="F65" s="31">
        <f>27961+4890+43209+18805+243689+33693+18832+5241+3299+108325+66462+8224+11106+75165+41739+19465+18590+26952+29921+6385+34551+36225+55215+34280+18609+36954+6072+12251+17221+6746+52532+13303+111858+60710+4840+68978+25928+22939+70651+5290+27962+5797+38241+193922+24822+3092+48097+42493+10044+32890+3649+0+0+0+0+0+0+0+0+0</f>
        <v>1938115</v>
      </c>
      <c r="G65" s="30"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workbookViewId="0">
      <pane ySplit="3" topLeftCell="A4" activePane="bottomLeft" state="frozen"/>
      <selection pane="bottomLeft" activeCell="A4" sqref="A4"/>
    </sheetView>
  </sheetViews>
  <sheetFormatPr defaultRowHeight="12.75" x14ac:dyDescent="0.2"/>
  <cols>
    <col min="1" max="1" width="15.7109375" style="1" customWidth="1"/>
    <col min="2" max="2" width="65.28515625" style="2" customWidth="1"/>
    <col min="3" max="3" width="75.5703125" style="2" customWidth="1"/>
    <col min="4" max="4" width="15.42578125" style="3" customWidth="1"/>
  </cols>
  <sheetData>
    <row r="1" spans="1:4" ht="20.25" customHeight="1" x14ac:dyDescent="0.3">
      <c r="A1" s="43" t="s">
        <v>449</v>
      </c>
      <c r="B1" s="4"/>
      <c r="C1" s="4"/>
      <c r="D1" s="5"/>
    </row>
    <row r="2" spans="1:4" ht="18" customHeight="1" x14ac:dyDescent="0.25">
      <c r="A2" s="44" t="s">
        <v>0</v>
      </c>
      <c r="B2" s="4"/>
      <c r="C2" s="4"/>
      <c r="D2" s="5"/>
    </row>
    <row r="3" spans="1:4" x14ac:dyDescent="0.2">
      <c r="A3" s="6" t="s">
        <v>1</v>
      </c>
      <c r="B3" s="6" t="s">
        <v>2</v>
      </c>
      <c r="C3" s="6" t="s">
        <v>3</v>
      </c>
      <c r="D3" s="7" t="s">
        <v>4</v>
      </c>
    </row>
    <row r="5" spans="1:4" x14ac:dyDescent="0.2">
      <c r="A5" s="1" t="s">
        <v>5</v>
      </c>
      <c r="B5" s="22" t="s">
        <v>344</v>
      </c>
      <c r="C5" s="9" t="s">
        <v>6</v>
      </c>
      <c r="D5" s="3">
        <v>10.553000000000001</v>
      </c>
    </row>
    <row r="6" spans="1:4" x14ac:dyDescent="0.2">
      <c r="A6" s="1" t="s">
        <v>7</v>
      </c>
      <c r="B6" s="22" t="s">
        <v>344</v>
      </c>
      <c r="C6" s="9" t="s">
        <v>8</v>
      </c>
      <c r="D6" s="3">
        <v>10.555</v>
      </c>
    </row>
    <row r="7" spans="1:4" x14ac:dyDescent="0.2">
      <c r="A7" s="1" t="s">
        <v>9</v>
      </c>
      <c r="B7" s="22" t="s">
        <v>344</v>
      </c>
      <c r="C7" s="9" t="s">
        <v>10</v>
      </c>
      <c r="D7" s="3">
        <v>10.557</v>
      </c>
    </row>
    <row r="8" spans="1:4" x14ac:dyDescent="0.2">
      <c r="A8" s="1" t="s">
        <v>11</v>
      </c>
      <c r="B8" s="22" t="s">
        <v>344</v>
      </c>
      <c r="C8" s="9" t="s">
        <v>12</v>
      </c>
      <c r="D8" s="3">
        <v>10.558</v>
      </c>
    </row>
    <row r="9" spans="1:4" x14ac:dyDescent="0.2">
      <c r="A9" s="1" t="s">
        <v>13</v>
      </c>
      <c r="B9" s="22" t="s">
        <v>344</v>
      </c>
      <c r="C9" s="9" t="s">
        <v>14</v>
      </c>
      <c r="D9" s="3">
        <v>10.561</v>
      </c>
    </row>
    <row r="10" spans="1:4" x14ac:dyDescent="0.2">
      <c r="B10" s="22"/>
      <c r="C10" s="9"/>
    </row>
    <row r="11" spans="1:4" x14ac:dyDescent="0.2">
      <c r="A11" s="1" t="s">
        <v>15</v>
      </c>
      <c r="B11" s="22" t="s">
        <v>345</v>
      </c>
      <c r="C11" s="9" t="s">
        <v>16</v>
      </c>
      <c r="D11" s="3">
        <v>84.01</v>
      </c>
    </row>
    <row r="12" spans="1:4" x14ac:dyDescent="0.2">
      <c r="A12" s="1" t="s">
        <v>17</v>
      </c>
      <c r="B12" s="22" t="s">
        <v>345</v>
      </c>
      <c r="C12" s="9" t="s">
        <v>18</v>
      </c>
      <c r="D12" s="3">
        <v>84.367000000000004</v>
      </c>
    </row>
    <row r="13" spans="1:4" x14ac:dyDescent="0.2">
      <c r="B13" s="22"/>
      <c r="C13" s="9"/>
    </row>
    <row r="14" spans="1:4" x14ac:dyDescent="0.2">
      <c r="A14" s="1" t="s">
        <v>19</v>
      </c>
      <c r="B14" s="22" t="s">
        <v>346</v>
      </c>
      <c r="C14" s="9" t="s">
        <v>20</v>
      </c>
      <c r="D14" s="3">
        <v>84.126000000000005</v>
      </c>
    </row>
    <row r="15" spans="1:4" x14ac:dyDescent="0.2">
      <c r="A15" s="1" t="s">
        <v>21</v>
      </c>
      <c r="B15" s="22" t="s">
        <v>346</v>
      </c>
      <c r="C15" s="9" t="s">
        <v>22</v>
      </c>
      <c r="D15" s="3">
        <v>84.027000000000001</v>
      </c>
    </row>
    <row r="16" spans="1:4" x14ac:dyDescent="0.2">
      <c r="B16" s="22"/>
      <c r="C16" s="9"/>
    </row>
    <row r="17" spans="1:4" x14ac:dyDescent="0.2">
      <c r="A17" s="1" t="s">
        <v>23</v>
      </c>
      <c r="B17" s="22" t="s">
        <v>347</v>
      </c>
      <c r="C17" s="9" t="s">
        <v>24</v>
      </c>
      <c r="D17" s="3">
        <v>93.558000000000007</v>
      </c>
    </row>
    <row r="18" spans="1:4" x14ac:dyDescent="0.2">
      <c r="A18" s="1" t="s">
        <v>25</v>
      </c>
      <c r="B18" s="22" t="s">
        <v>347</v>
      </c>
      <c r="C18" s="9" t="s">
        <v>26</v>
      </c>
      <c r="D18" s="3">
        <v>93.563000000000002</v>
      </c>
    </row>
    <row r="19" spans="1:4" x14ac:dyDescent="0.2">
      <c r="A19" s="1" t="s">
        <v>27</v>
      </c>
      <c r="B19" s="22" t="s">
        <v>347</v>
      </c>
      <c r="C19" s="9" t="s">
        <v>28</v>
      </c>
      <c r="D19" s="3">
        <v>93.567999999999998</v>
      </c>
    </row>
    <row r="20" spans="1:4" x14ac:dyDescent="0.2">
      <c r="A20" s="1" t="s">
        <v>29</v>
      </c>
      <c r="B20" s="22" t="s">
        <v>347</v>
      </c>
      <c r="C20" s="9" t="s">
        <v>30</v>
      </c>
      <c r="D20" s="3">
        <v>93.575000000000003</v>
      </c>
    </row>
    <row r="21" spans="1:4" x14ac:dyDescent="0.2">
      <c r="A21" s="1" t="s">
        <v>31</v>
      </c>
      <c r="B21" s="22" t="s">
        <v>347</v>
      </c>
      <c r="C21" s="9" t="s">
        <v>32</v>
      </c>
      <c r="D21" s="3" t="s">
        <v>33</v>
      </c>
    </row>
    <row r="22" spans="1:4" x14ac:dyDescent="0.2">
      <c r="A22" s="1" t="s">
        <v>34</v>
      </c>
      <c r="B22" s="22" t="s">
        <v>347</v>
      </c>
      <c r="C22" s="9" t="s">
        <v>35</v>
      </c>
      <c r="D22" s="3" t="s">
        <v>36</v>
      </c>
    </row>
    <row r="23" spans="1:4" x14ac:dyDescent="0.2">
      <c r="A23" s="1" t="s">
        <v>37</v>
      </c>
      <c r="B23" s="22" t="s">
        <v>347</v>
      </c>
      <c r="C23" s="9" t="s">
        <v>38</v>
      </c>
      <c r="D23" s="3">
        <v>93.6</v>
      </c>
    </row>
    <row r="24" spans="1:4" x14ac:dyDescent="0.2">
      <c r="A24" s="1" t="s">
        <v>39</v>
      </c>
      <c r="B24" s="22" t="s">
        <v>347</v>
      </c>
      <c r="C24" s="9" t="s">
        <v>40</v>
      </c>
      <c r="D24" s="3">
        <v>93.658000000000001</v>
      </c>
    </row>
    <row r="25" spans="1:4" x14ac:dyDescent="0.2">
      <c r="A25" s="1" t="s">
        <v>41</v>
      </c>
      <c r="B25" s="22" t="s">
        <v>347</v>
      </c>
      <c r="C25" s="9" t="s">
        <v>42</v>
      </c>
      <c r="D25" s="3">
        <v>93.659000000000006</v>
      </c>
    </row>
    <row r="26" spans="1:4" x14ac:dyDescent="0.2">
      <c r="A26" s="1" t="s">
        <v>43</v>
      </c>
      <c r="B26" s="22" t="s">
        <v>347</v>
      </c>
      <c r="C26" s="9" t="s">
        <v>44</v>
      </c>
      <c r="D26" s="3">
        <v>93.667000000000002</v>
      </c>
    </row>
    <row r="27" spans="1:4" x14ac:dyDescent="0.2">
      <c r="B27" s="22"/>
      <c r="C27" s="9"/>
    </row>
    <row r="28" spans="1:4" x14ac:dyDescent="0.2">
      <c r="A28" s="1" t="s">
        <v>45</v>
      </c>
      <c r="B28" s="22" t="s">
        <v>348</v>
      </c>
      <c r="C28" s="9" t="s">
        <v>46</v>
      </c>
      <c r="D28" s="3">
        <v>93.766999999999996</v>
      </c>
    </row>
    <row r="29" spans="1:4" x14ac:dyDescent="0.2">
      <c r="A29" s="1" t="s">
        <v>47</v>
      </c>
      <c r="B29" s="22" t="s">
        <v>348</v>
      </c>
      <c r="C29" s="9" t="s">
        <v>48</v>
      </c>
      <c r="D29" s="3">
        <v>93.778000000000006</v>
      </c>
    </row>
    <row r="30" spans="1:4" x14ac:dyDescent="0.2">
      <c r="B30" s="22"/>
      <c r="C30" s="9"/>
    </row>
    <row r="31" spans="1:4" x14ac:dyDescent="0.2">
      <c r="A31" s="1" t="s">
        <v>49</v>
      </c>
      <c r="B31" s="22" t="s">
        <v>349</v>
      </c>
      <c r="C31" s="9" t="s">
        <v>50</v>
      </c>
      <c r="D31" s="3">
        <v>93.917000000000002</v>
      </c>
    </row>
    <row r="32" spans="1:4" x14ac:dyDescent="0.2">
      <c r="B32" s="22"/>
      <c r="C32" s="9"/>
    </row>
    <row r="33" spans="1:4" x14ac:dyDescent="0.2">
      <c r="A33" s="1" t="s">
        <v>51</v>
      </c>
      <c r="B33" s="22" t="s">
        <v>350</v>
      </c>
      <c r="C33" s="9" t="s">
        <v>52</v>
      </c>
      <c r="D33" s="3" t="s">
        <v>53</v>
      </c>
    </row>
    <row r="34" spans="1:4" x14ac:dyDescent="0.2">
      <c r="B34" s="22"/>
      <c r="C34" s="9"/>
    </row>
    <row r="35" spans="1:4" ht="25.5" x14ac:dyDescent="0.2">
      <c r="A35" s="1" t="s">
        <v>54</v>
      </c>
      <c r="B35" s="22" t="s">
        <v>351</v>
      </c>
      <c r="C35" s="9" t="s">
        <v>55</v>
      </c>
      <c r="D35" s="3" t="s">
        <v>56</v>
      </c>
    </row>
    <row r="36" spans="1:4" ht="25.5" x14ac:dyDescent="0.2">
      <c r="A36" s="1" t="s">
        <v>57</v>
      </c>
      <c r="B36" s="22" t="s">
        <v>351</v>
      </c>
      <c r="C36" s="9" t="s">
        <v>58</v>
      </c>
      <c r="D36" s="3" t="s">
        <v>59</v>
      </c>
    </row>
    <row r="37" spans="1:4" x14ac:dyDescent="0.2">
      <c r="B37" s="22"/>
      <c r="C37" s="9"/>
    </row>
    <row r="38" spans="1:4" x14ac:dyDescent="0.2">
      <c r="A38" s="1" t="s">
        <v>60</v>
      </c>
      <c r="B38" s="22" t="s">
        <v>352</v>
      </c>
      <c r="C38" s="9" t="s">
        <v>61</v>
      </c>
      <c r="D38" s="3">
        <v>14.871</v>
      </c>
    </row>
    <row r="39" spans="1:4" x14ac:dyDescent="0.2">
      <c r="A39" s="1" t="s">
        <v>62</v>
      </c>
      <c r="B39" s="22" t="s">
        <v>352</v>
      </c>
      <c r="C39" s="9" t="s">
        <v>63</v>
      </c>
      <c r="D39" s="3">
        <v>14.85</v>
      </c>
    </row>
    <row r="40" spans="1:4" x14ac:dyDescent="0.2">
      <c r="A40" s="1" t="s">
        <v>64</v>
      </c>
      <c r="B40" s="22" t="s">
        <v>352</v>
      </c>
      <c r="C40" s="9" t="s">
        <v>65</v>
      </c>
      <c r="D40" s="3">
        <v>14.872</v>
      </c>
    </row>
    <row r="41" spans="1:4" x14ac:dyDescent="0.2">
      <c r="B41" s="22"/>
      <c r="C41" s="9"/>
    </row>
    <row r="42" spans="1:4" x14ac:dyDescent="0.2">
      <c r="A42" s="1" t="s">
        <v>66</v>
      </c>
      <c r="B42" s="22" t="s">
        <v>353</v>
      </c>
      <c r="C42" s="9" t="s">
        <v>67</v>
      </c>
      <c r="D42" s="3">
        <v>17.225000000000001</v>
      </c>
    </row>
    <row r="43" spans="1:4" x14ac:dyDescent="0.2">
      <c r="B43" s="22"/>
      <c r="C43" s="9"/>
    </row>
    <row r="44" spans="1:4" x14ac:dyDescent="0.2">
      <c r="A44" s="1" t="s">
        <v>68</v>
      </c>
      <c r="B44" s="22" t="s">
        <v>354</v>
      </c>
      <c r="C44" s="9" t="s">
        <v>69</v>
      </c>
      <c r="D44" s="3">
        <v>20.106000000000002</v>
      </c>
    </row>
    <row r="45" spans="1:4" x14ac:dyDescent="0.2">
      <c r="B45" s="22"/>
      <c r="C45" s="9"/>
    </row>
    <row r="46" spans="1:4" x14ac:dyDescent="0.2">
      <c r="A46" s="1" t="s">
        <v>70</v>
      </c>
      <c r="B46" s="22" t="s">
        <v>355</v>
      </c>
      <c r="C46" s="9" t="s">
        <v>71</v>
      </c>
      <c r="D46" s="3">
        <v>20.204999999999998</v>
      </c>
    </row>
    <row r="47" spans="1:4" x14ac:dyDescent="0.2">
      <c r="B47" s="22"/>
      <c r="C47" s="9"/>
    </row>
    <row r="48" spans="1:4" x14ac:dyDescent="0.2">
      <c r="A48" s="1" t="s">
        <v>72</v>
      </c>
      <c r="B48" s="22" t="s">
        <v>356</v>
      </c>
      <c r="C48" s="9" t="s">
        <v>73</v>
      </c>
      <c r="D48" s="3">
        <v>20.507000000000001</v>
      </c>
    </row>
    <row r="49" spans="1:4" x14ac:dyDescent="0.2">
      <c r="B49" s="22"/>
      <c r="C49" s="9"/>
    </row>
    <row r="50" spans="1:4" x14ac:dyDescent="0.2">
      <c r="A50" s="1" t="s">
        <v>74</v>
      </c>
      <c r="B50" s="22" t="s">
        <v>357</v>
      </c>
      <c r="C50" s="9" t="s">
        <v>75</v>
      </c>
      <c r="D50" s="3">
        <v>66.457999999999998</v>
      </c>
    </row>
    <row r="51" spans="1:4" x14ac:dyDescent="0.2">
      <c r="A51" s="1" t="s">
        <v>76</v>
      </c>
      <c r="B51" s="22" t="s">
        <v>357</v>
      </c>
      <c r="C51" s="9" t="s">
        <v>77</v>
      </c>
      <c r="D51" s="3">
        <v>66.468000000000004</v>
      </c>
    </row>
    <row r="52" spans="1:4" x14ac:dyDescent="0.2">
      <c r="B52" s="22"/>
      <c r="C52" s="9"/>
    </row>
    <row r="53" spans="1:4" x14ac:dyDescent="0.2">
      <c r="A53" s="1" t="s">
        <v>78</v>
      </c>
      <c r="B53" s="22" t="s">
        <v>79</v>
      </c>
      <c r="C53" s="9" t="s">
        <v>80</v>
      </c>
      <c r="D53" s="3" t="s">
        <v>81</v>
      </c>
    </row>
  </sheetData>
  <hyperlinks>
    <hyperlink ref="A5" location="'Table 17-5'!A1" display="'Table 17-5'!A1"/>
    <hyperlink ref="A6" location="'Table 17-6'!A1" display="'Table 17-6'!A1"/>
    <hyperlink ref="A7" location="'Table 17-7'!A1" display="'Table 17-7'!A1"/>
    <hyperlink ref="A8" location="'Table 17-8'!A1" display="'Table 17-8'!A1"/>
    <hyperlink ref="A9" location="'Table 17-9'!A1" display="'Table 17-9'!A1"/>
    <hyperlink ref="A11" location="'Table 17-10'!A1" display="'Table 17-10'!A1"/>
    <hyperlink ref="A12" location="'Table 17-11'!A1" display="'Table 17-11'!A1"/>
    <hyperlink ref="A14" location="'Table 17-12'!A1" display="'Table 17-12'!A1"/>
    <hyperlink ref="A15" location="'Table 17-13'!A1" display="'Table 17-13'!A1"/>
    <hyperlink ref="A17" location="'Table 17-14'!A1" display="'Table 17-14'!A1"/>
    <hyperlink ref="A18" location="'Table 17-15'!A1" display="'Table 17-15'!A1"/>
    <hyperlink ref="A19" location="'Table 17-16'!A1" display="'Table 17-16'!A1"/>
    <hyperlink ref="A20" location="'Table 17-17'!A1" display="'Table 17-17'!A1"/>
    <hyperlink ref="A21" location="'Table 17-18'!A1" display="'Table 17-18'!A1"/>
    <hyperlink ref="A22" location="'Table 17-19'!A1" display="'Table 17-19'!A1"/>
    <hyperlink ref="A23" location="'Table 17-20'!A1" display="'Table 17-20'!A1"/>
    <hyperlink ref="A24" location="'Table 17-21'!A1" display="'Table 17-21'!A1"/>
    <hyperlink ref="A25" location="'Table 17-22'!A1" display="'Table 17-22'!A1"/>
    <hyperlink ref="A26" location="'Table 17-23'!A1" display="'Table 17-23'!A1"/>
    <hyperlink ref="A28" location="'Table 17-24'!A1" display="'Table 17-24'!A1"/>
    <hyperlink ref="A29" location="'Table 17-25'!A1" display="'Table 17-25'!A1"/>
    <hyperlink ref="A31" location="'Table 17-26'!A1" display="'Table 17-26'!A1"/>
    <hyperlink ref="A33" location="'Table 17-27'!A1" display="'Table 17-27'!A1"/>
    <hyperlink ref="A35" location="'Table 17-28'!A1" display="'Table 17-28'!A1"/>
    <hyperlink ref="A36" location="'Table 17-29'!A1" display="'Table 17-29'!A1"/>
    <hyperlink ref="A38" location="'Table 17-30'!A1" display="'Table 17-30'!A1"/>
    <hyperlink ref="A39" location="'Table 17-31'!A1" display="'Table 17-31'!A1"/>
    <hyperlink ref="A40" location="'Table 17-32'!A1" display="'Table 17-32'!A1"/>
    <hyperlink ref="A42" location="'Table 17-33'!A1" display="'Table 17-33'!A1"/>
    <hyperlink ref="A44" location="'Table 17-34'!A1" display="'Table 17-34'!A1"/>
    <hyperlink ref="A46" location="'Table 17-35'!A1" display="'Table 17-35'!A1"/>
    <hyperlink ref="A48" location="'Table 17-36'!A1" display="'Table 17-36'!A1"/>
    <hyperlink ref="A50" location="'Table 17-37'!A1" display="'Table 17-37'!A1"/>
    <hyperlink ref="A51" location="'Table 17-38'!A1" display="'Table 17-38'!A1"/>
    <hyperlink ref="A53" location="'Table 17-39'!A1" display="'Table 17-39'!A1"/>
  </hyperlinks>
  <pageMargins left="0.7" right="0.7" top="0.75" bottom="0.75" header="0.3" footer="0.3"/>
  <pageSetup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190</v>
      </c>
    </row>
    <row r="2" spans="1:7" x14ac:dyDescent="0.2">
      <c r="A2" s="11" t="s">
        <v>191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143507</v>
      </c>
      <c r="C6" s="15">
        <v>0</v>
      </c>
      <c r="D6" s="15">
        <v>146151</v>
      </c>
      <c r="E6" s="15">
        <v>146151</v>
      </c>
      <c r="F6" s="15">
        <v>146151</v>
      </c>
      <c r="G6" s="16">
        <f>IF(AND(F69&lt;&gt;0,146151&lt;&gt;0),IF(100*146151/(F69-0)&lt;0.005,"*",100*146151/(F69-0)),0)</f>
        <v>1.452346420261361</v>
      </c>
    </row>
    <row r="7" spans="1:7" x14ac:dyDescent="0.2">
      <c r="A7" s="9" t="s">
        <v>95</v>
      </c>
      <c r="B7" s="15">
        <v>16991</v>
      </c>
      <c r="C7" s="15">
        <v>0</v>
      </c>
      <c r="D7" s="15">
        <v>17304</v>
      </c>
      <c r="E7" s="15">
        <v>17304</v>
      </c>
      <c r="F7" s="15">
        <v>17304</v>
      </c>
      <c r="G7" s="16">
        <f>IF(AND(F69&lt;&gt;0,17304&lt;&gt;0),IF(100*17304/(F69-0)&lt;0.005,"*",100*17304/(F69-0)),0)</f>
        <v>0.17195504961445757</v>
      </c>
    </row>
    <row r="8" spans="1:7" x14ac:dyDescent="0.2">
      <c r="A8" s="9" t="s">
        <v>96</v>
      </c>
      <c r="B8" s="15">
        <v>151262</v>
      </c>
      <c r="C8" s="15">
        <v>0</v>
      </c>
      <c r="D8" s="15">
        <v>154047</v>
      </c>
      <c r="E8" s="15">
        <v>154047</v>
      </c>
      <c r="F8" s="15">
        <v>154047</v>
      </c>
      <c r="G8" s="16">
        <f>IF(AND(F69&lt;&gt;0,154047&lt;&gt;0),IF(100*154047/(F69-0)&lt;0.005,"*",100*154047/(F69-0)),0)</f>
        <v>1.5308113458135892</v>
      </c>
    </row>
    <row r="9" spans="1:7" x14ac:dyDescent="0.2">
      <c r="A9" s="9" t="s">
        <v>97</v>
      </c>
      <c r="B9" s="15">
        <v>92082</v>
      </c>
      <c r="C9" s="15">
        <v>0</v>
      </c>
      <c r="D9" s="15">
        <v>93773</v>
      </c>
      <c r="E9" s="15">
        <v>93773</v>
      </c>
      <c r="F9" s="15">
        <v>93773</v>
      </c>
      <c r="G9" s="16">
        <f>IF(AND(F69&lt;&gt;0,93773&lt;&gt;0),IF(100*93773/(F69-0)&lt;0.005,"*",100*93773/(F69-0)),0)</f>
        <v>0.9318504893375249</v>
      </c>
    </row>
    <row r="10" spans="1:7" x14ac:dyDescent="0.2">
      <c r="A10" s="9" t="s">
        <v>98</v>
      </c>
      <c r="B10" s="15">
        <v>1173974</v>
      </c>
      <c r="C10" s="15">
        <v>0</v>
      </c>
      <c r="D10" s="15">
        <v>1195614</v>
      </c>
      <c r="E10" s="15">
        <v>1195614</v>
      </c>
      <c r="F10" s="15">
        <v>1195614</v>
      </c>
      <c r="G10" s="16">
        <f>IF(AND(F69&lt;&gt;0,1195614&lt;&gt;0),IF(100*1195614/(F69-0)&lt;0.005,"*",100*1195614/(F69-0)),0)</f>
        <v>11.881175721783407</v>
      </c>
    </row>
    <row r="11" spans="1:7" x14ac:dyDescent="0.2">
      <c r="A11" s="9" t="s">
        <v>99</v>
      </c>
      <c r="B11" s="15">
        <v>103820</v>
      </c>
      <c r="C11" s="15">
        <v>0</v>
      </c>
      <c r="D11" s="15">
        <v>105732</v>
      </c>
      <c r="E11" s="15">
        <v>105732</v>
      </c>
      <c r="F11" s="15">
        <v>105732</v>
      </c>
      <c r="G11" s="16">
        <f>IF(AND(F69&lt;&gt;0,105732&lt;&gt;0),IF(100*105732/(F69-0)&lt;0.005,"*",100*105732/(F69-0)),0)</f>
        <v>1.0506906672350802</v>
      </c>
    </row>
    <row r="12" spans="1:7" x14ac:dyDescent="0.2">
      <c r="A12" s="9" t="s">
        <v>100</v>
      </c>
      <c r="B12" s="15">
        <v>66995</v>
      </c>
      <c r="C12" s="15">
        <v>0</v>
      </c>
      <c r="D12" s="15">
        <v>68231</v>
      </c>
      <c r="E12" s="15">
        <v>68231</v>
      </c>
      <c r="F12" s="15">
        <v>68231</v>
      </c>
      <c r="G12" s="16">
        <f>IF(AND(F69&lt;&gt;0,68231&lt;&gt;0),IF(100*68231/(F69-0)&lt;0.005,"*",100*68231/(F69-0)),0)</f>
        <v>0.67803195736500554</v>
      </c>
    </row>
    <row r="13" spans="1:7" x14ac:dyDescent="0.2">
      <c r="A13" s="9" t="s">
        <v>101</v>
      </c>
      <c r="B13" s="15">
        <v>19519</v>
      </c>
      <c r="C13" s="15">
        <v>0</v>
      </c>
      <c r="D13" s="15">
        <v>19877</v>
      </c>
      <c r="E13" s="15">
        <v>19877</v>
      </c>
      <c r="F13" s="15">
        <v>19877</v>
      </c>
      <c r="G13" s="16">
        <f>IF(AND(F69&lt;&gt;0,19877&lt;&gt;0),IF(100*19877/(F69-0)&lt;0.005,"*",100*19877/(F69-0)),0)</f>
        <v>0.19752372406302435</v>
      </c>
    </row>
    <row r="14" spans="1:7" x14ac:dyDescent="0.2">
      <c r="A14" s="9" t="s">
        <v>102</v>
      </c>
      <c r="B14" s="15">
        <v>31914</v>
      </c>
      <c r="C14" s="15">
        <v>0</v>
      </c>
      <c r="D14" s="15">
        <v>32501</v>
      </c>
      <c r="E14" s="15">
        <v>32501</v>
      </c>
      <c r="F14" s="15">
        <v>32501</v>
      </c>
      <c r="G14" s="16">
        <f>IF(AND(F69&lt;&gt;0,32501&lt;&gt;0),IF(100*32501/(F69-0)&lt;0.005,"*",100*32501/(F69-0)),0)</f>
        <v>0.32297220686081168</v>
      </c>
    </row>
    <row r="15" spans="1:7" x14ac:dyDescent="0.2">
      <c r="A15" s="9" t="s">
        <v>103</v>
      </c>
      <c r="B15" s="15">
        <v>376991</v>
      </c>
      <c r="C15" s="15">
        <v>0</v>
      </c>
      <c r="D15" s="15">
        <v>383931</v>
      </c>
      <c r="E15" s="15">
        <v>383931</v>
      </c>
      <c r="F15" s="15">
        <v>383931</v>
      </c>
      <c r="G15" s="16">
        <f>IF(AND(F69&lt;&gt;0,383931&lt;&gt;0),IF(100*383931/(F69-0)&lt;0.005,"*",100*383931/(F69-0)),0)</f>
        <v>3.8152377573698746</v>
      </c>
    </row>
    <row r="16" spans="1:7" x14ac:dyDescent="0.2">
      <c r="A16" s="9" t="s">
        <v>104</v>
      </c>
      <c r="B16" s="15">
        <v>236460</v>
      </c>
      <c r="C16" s="15">
        <v>0</v>
      </c>
      <c r="D16" s="15">
        <v>240816</v>
      </c>
      <c r="E16" s="15">
        <v>240816</v>
      </c>
      <c r="F16" s="15">
        <v>240816</v>
      </c>
      <c r="G16" s="16">
        <f>IF(AND(F69&lt;&gt;0,240816&lt;&gt;0),IF(100*240816/(F69-0)&lt;0.005,"*",100*240816/(F69-0)),0)</f>
        <v>2.3930609817357382</v>
      </c>
    </row>
    <row r="17" spans="1:7" x14ac:dyDescent="0.2">
      <c r="A17" s="9" t="s">
        <v>105</v>
      </c>
      <c r="B17" s="15">
        <v>29002</v>
      </c>
      <c r="C17" s="15">
        <v>0</v>
      </c>
      <c r="D17" s="15">
        <v>29537</v>
      </c>
      <c r="E17" s="15">
        <v>29537</v>
      </c>
      <c r="F17" s="15">
        <v>29537</v>
      </c>
      <c r="G17" s="16">
        <f>IF(AND(F69&lt;&gt;0,29537&lt;&gt;0),IF(100*29537/(F69-0)&lt;0.005,"*",100*29537/(F69-0)),0)</f>
        <v>0.2935180478769206</v>
      </c>
    </row>
    <row r="18" spans="1:7" x14ac:dyDescent="0.2">
      <c r="A18" s="9" t="s">
        <v>106</v>
      </c>
      <c r="B18" s="15">
        <v>31755</v>
      </c>
      <c r="C18" s="15">
        <v>0</v>
      </c>
      <c r="D18" s="15">
        <v>32341</v>
      </c>
      <c r="E18" s="15">
        <v>32341</v>
      </c>
      <c r="F18" s="15">
        <v>32341</v>
      </c>
      <c r="G18" s="16">
        <f>IF(AND(F69&lt;&gt;0,32341&lt;&gt;0),IF(100*32341/(F69-0)&lt;0.005,"*",100*32341/(F69-0)),0)</f>
        <v>0.32138223876451527</v>
      </c>
    </row>
    <row r="19" spans="1:7" x14ac:dyDescent="0.2">
      <c r="A19" s="9" t="s">
        <v>107</v>
      </c>
      <c r="B19" s="15">
        <v>363170</v>
      </c>
      <c r="C19" s="15">
        <v>0</v>
      </c>
      <c r="D19" s="15">
        <v>369864</v>
      </c>
      <c r="E19" s="15">
        <v>369864</v>
      </c>
      <c r="F19" s="15">
        <v>369864</v>
      </c>
      <c r="G19" s="16">
        <f>IF(AND(F69&lt;&gt;0,369864&lt;&gt;0),IF(100*369864/(F69-0)&lt;0.005,"*",100*369864/(F69-0)),0)</f>
        <v>3.6754497498036143</v>
      </c>
    </row>
    <row r="20" spans="1:7" x14ac:dyDescent="0.2">
      <c r="A20" s="9" t="s">
        <v>108</v>
      </c>
      <c r="B20" s="15">
        <v>138389</v>
      </c>
      <c r="C20" s="15">
        <v>0</v>
      </c>
      <c r="D20" s="15">
        <v>140939</v>
      </c>
      <c r="E20" s="15">
        <v>140939</v>
      </c>
      <c r="F20" s="15">
        <v>140939</v>
      </c>
      <c r="G20" s="16">
        <f>IF(AND(F69&lt;&gt;0,140939&lt;&gt;0),IF(100*140939/(F69-0)&lt;0.005,"*",100*140939/(F69-0)),0)</f>
        <v>1.4005532095245052</v>
      </c>
    </row>
    <row r="21" spans="1:7" x14ac:dyDescent="0.2">
      <c r="A21" s="9" t="s">
        <v>109</v>
      </c>
      <c r="B21" s="15">
        <v>67693</v>
      </c>
      <c r="C21" s="15">
        <v>0</v>
      </c>
      <c r="D21" s="15">
        <v>68943</v>
      </c>
      <c r="E21" s="15">
        <v>68943</v>
      </c>
      <c r="F21" s="15">
        <v>68943</v>
      </c>
      <c r="G21" s="16">
        <f>IF(AND(F69&lt;&gt;0,68943&lt;&gt;0),IF(100*68943/(F69-0)&lt;0.005,"*",100*68943/(F69-0)),0)</f>
        <v>0.68510731539352454</v>
      </c>
    </row>
    <row r="22" spans="1:7" x14ac:dyDescent="0.2">
      <c r="A22" s="9" t="s">
        <v>110</v>
      </c>
      <c r="B22" s="15">
        <v>71953</v>
      </c>
      <c r="C22" s="15">
        <v>0</v>
      </c>
      <c r="D22" s="15">
        <v>73282</v>
      </c>
      <c r="E22" s="15">
        <v>73282</v>
      </c>
      <c r="F22" s="15">
        <v>73282</v>
      </c>
      <c r="G22" s="16">
        <f>IF(AND(F69&lt;&gt;0,73282&lt;&gt;0),IF(100*73282/(F69-0)&lt;0.005,"*",100*73282/(F69-0)),0)</f>
        <v>0.72822526270496302</v>
      </c>
    </row>
    <row r="23" spans="1:7" x14ac:dyDescent="0.2">
      <c r="A23" s="9" t="s">
        <v>111</v>
      </c>
      <c r="B23" s="15">
        <v>156021</v>
      </c>
      <c r="C23" s="15">
        <v>0</v>
      </c>
      <c r="D23" s="15">
        <v>158897</v>
      </c>
      <c r="E23" s="15">
        <v>158897</v>
      </c>
      <c r="F23" s="15">
        <v>158897</v>
      </c>
      <c r="G23" s="16">
        <f>IF(AND(F69&lt;&gt;0,158897&lt;&gt;0),IF(100*158897/(F69-0)&lt;0.005,"*",100*158897/(F69-0)),0)</f>
        <v>1.5790072537325743</v>
      </c>
    </row>
    <row r="24" spans="1:7" x14ac:dyDescent="0.2">
      <c r="A24" s="9" t="s">
        <v>112</v>
      </c>
      <c r="B24" s="15">
        <v>188036</v>
      </c>
      <c r="C24" s="15">
        <v>0</v>
      </c>
      <c r="D24" s="15">
        <v>191502</v>
      </c>
      <c r="E24" s="15">
        <v>191502</v>
      </c>
      <c r="F24" s="15">
        <v>191502</v>
      </c>
      <c r="G24" s="16">
        <f>IF(AND(F69&lt;&gt;0,191502&lt;&gt;0),IF(100*191502/(F69-0)&lt;0.005,"*",100*191502/(F69-0)),0)</f>
        <v>1.9030129398559787</v>
      </c>
    </row>
    <row r="25" spans="1:7" x14ac:dyDescent="0.2">
      <c r="A25" s="9" t="s">
        <v>113</v>
      </c>
      <c r="B25" s="15">
        <v>37488</v>
      </c>
      <c r="C25" s="15">
        <v>0</v>
      </c>
      <c r="D25" s="15">
        <v>38179</v>
      </c>
      <c r="E25" s="15">
        <v>38179</v>
      </c>
      <c r="F25" s="15">
        <v>38179</v>
      </c>
      <c r="G25" s="16">
        <f>IF(AND(F69&lt;&gt;0,38179&lt;&gt;0),IF(100*38179/(F69-0)&lt;0.005,"*",100*38179/(F69-0)),0)</f>
        <v>0.37939619967813082</v>
      </c>
    </row>
    <row r="26" spans="1:7" x14ac:dyDescent="0.2">
      <c r="A26" s="9" t="s">
        <v>114</v>
      </c>
      <c r="B26" s="15">
        <v>102761</v>
      </c>
      <c r="C26" s="15">
        <v>0</v>
      </c>
      <c r="D26" s="15">
        <v>104658</v>
      </c>
      <c r="E26" s="15">
        <v>104658</v>
      </c>
      <c r="F26" s="15">
        <v>104658</v>
      </c>
      <c r="G26" s="16">
        <f>IF(AND(F69&lt;&gt;0,104658&lt;&gt;0),IF(100*104658/(F69-0)&lt;0.005,"*",100*104658/(F69-0)),0)</f>
        <v>1.0400180063886906</v>
      </c>
    </row>
    <row r="27" spans="1:7" x14ac:dyDescent="0.2">
      <c r="A27" s="9" t="s">
        <v>115</v>
      </c>
      <c r="B27" s="15">
        <v>143821</v>
      </c>
      <c r="C27" s="15">
        <v>0</v>
      </c>
      <c r="D27" s="15">
        <v>146474</v>
      </c>
      <c r="E27" s="15">
        <v>146474</v>
      </c>
      <c r="F27" s="15">
        <v>146474</v>
      </c>
      <c r="G27" s="16">
        <f>IF(AND(F69&lt;&gt;0,146474&lt;&gt;0),IF(100*146474/(F69-0)&lt;0.005,"*",100*146474/(F69-0)),0)</f>
        <v>1.4555561683557594</v>
      </c>
    </row>
    <row r="28" spans="1:7" x14ac:dyDescent="0.2">
      <c r="A28" s="9" t="s">
        <v>116</v>
      </c>
      <c r="B28" s="15">
        <v>322772</v>
      </c>
      <c r="C28" s="15">
        <v>0</v>
      </c>
      <c r="D28" s="15">
        <v>328720</v>
      </c>
      <c r="E28" s="15">
        <v>328720</v>
      </c>
      <c r="F28" s="15">
        <v>328720</v>
      </c>
      <c r="G28" s="16">
        <f>IF(AND(F69&lt;&gt;0,328720&lt;&gt;0),IF(100*328720/(F69-0)&lt;0.005,"*",100*328720/(F69-0)),0)</f>
        <v>3.2665894538409903</v>
      </c>
    </row>
    <row r="29" spans="1:7" x14ac:dyDescent="0.2">
      <c r="A29" s="9" t="s">
        <v>117</v>
      </c>
      <c r="B29" s="15">
        <v>103368</v>
      </c>
      <c r="C29" s="15">
        <v>0</v>
      </c>
      <c r="D29" s="15">
        <v>105274</v>
      </c>
      <c r="E29" s="15">
        <v>105274</v>
      </c>
      <c r="F29" s="15">
        <v>105274</v>
      </c>
      <c r="G29" s="16">
        <f>IF(AND(F69&lt;&gt;0,105274&lt;&gt;0),IF(100*105274/(F69-0)&lt;0.005,"*",100*105274/(F69-0)),0)</f>
        <v>1.0461393835594317</v>
      </c>
    </row>
    <row r="30" spans="1:7" x14ac:dyDescent="0.2">
      <c r="A30" s="9" t="s">
        <v>118</v>
      </c>
      <c r="B30" s="15">
        <v>206566</v>
      </c>
      <c r="C30" s="15">
        <v>0</v>
      </c>
      <c r="D30" s="15">
        <v>210377</v>
      </c>
      <c r="E30" s="15">
        <v>210377</v>
      </c>
      <c r="F30" s="15">
        <v>210377</v>
      </c>
      <c r="G30" s="16">
        <f>IF(AND(F69&lt;&gt;0,210377&lt;&gt;0),IF(100*210377/(F69-0)&lt;0.005,"*",100*210377/(F69-0)),0)</f>
        <v>2.0905794887159468</v>
      </c>
    </row>
    <row r="31" spans="1:7" x14ac:dyDescent="0.2">
      <c r="A31" s="9" t="s">
        <v>119</v>
      </c>
      <c r="B31" s="15">
        <v>167211</v>
      </c>
      <c r="C31" s="15">
        <v>0</v>
      </c>
      <c r="D31" s="15">
        <v>170292</v>
      </c>
      <c r="E31" s="15">
        <v>170292</v>
      </c>
      <c r="F31" s="15">
        <v>170292</v>
      </c>
      <c r="G31" s="16">
        <f>IF(AND(F69&lt;&gt;0,170292&lt;&gt;0),IF(100*170292/(F69-0)&lt;0.005,"*",100*170292/(F69-0)),0)</f>
        <v>1.6922427940906848</v>
      </c>
    </row>
    <row r="32" spans="1:7" x14ac:dyDescent="0.2">
      <c r="A32" s="9" t="s">
        <v>120</v>
      </c>
      <c r="B32" s="15">
        <v>32050</v>
      </c>
      <c r="C32" s="15">
        <v>0</v>
      </c>
      <c r="D32" s="15">
        <v>32640</v>
      </c>
      <c r="E32" s="15">
        <v>32640</v>
      </c>
      <c r="F32" s="15">
        <v>32640</v>
      </c>
      <c r="G32" s="16">
        <f>IF(AND(F69&lt;&gt;0,32640&lt;&gt;0),IF(100*32640/(F69-0)&lt;0.005,"*",100*32640/(F69-0)),0)</f>
        <v>0.32435349164446919</v>
      </c>
    </row>
    <row r="33" spans="1:7" x14ac:dyDescent="0.2">
      <c r="A33" s="9" t="s">
        <v>121</v>
      </c>
      <c r="B33" s="15">
        <v>50954</v>
      </c>
      <c r="C33" s="15">
        <v>0</v>
      </c>
      <c r="D33" s="15">
        <v>51893</v>
      </c>
      <c r="E33" s="15">
        <v>51893</v>
      </c>
      <c r="F33" s="15">
        <v>51893</v>
      </c>
      <c r="G33" s="16">
        <f>IF(AND(F69&lt;&gt;0,51893&lt;&gt;0),IF(100*51893/(F69-0)&lt;0.005,"*",100*51893/(F69-0)),0)</f>
        <v>0.51567634013193753</v>
      </c>
    </row>
    <row r="34" spans="1:7" x14ac:dyDescent="0.2">
      <c r="A34" s="9" t="s">
        <v>122</v>
      </c>
      <c r="B34" s="15">
        <v>38248</v>
      </c>
      <c r="C34" s="15">
        <v>0</v>
      </c>
      <c r="D34" s="15">
        <v>38950</v>
      </c>
      <c r="E34" s="15">
        <v>38950</v>
      </c>
      <c r="F34" s="15">
        <v>38950</v>
      </c>
      <c r="G34" s="16">
        <f>IF(AND(F69&lt;&gt;0,38950&lt;&gt;0),IF(100*38950/(F69-0)&lt;0.005,"*",100*38950/(F69-0)),0)</f>
        <v>0.38705785844215918</v>
      </c>
    </row>
    <row r="35" spans="1:7" x14ac:dyDescent="0.2">
      <c r="A35" s="9" t="s">
        <v>123</v>
      </c>
      <c r="B35" s="15">
        <v>18834</v>
      </c>
      <c r="C35" s="15">
        <v>0</v>
      </c>
      <c r="D35" s="15">
        <v>19182</v>
      </c>
      <c r="E35" s="15">
        <v>19182</v>
      </c>
      <c r="F35" s="15">
        <v>19182</v>
      </c>
      <c r="G35" s="16">
        <f>IF(AND(F69&lt;&gt;0,19182&lt;&gt;0),IF(100*19182/(F69-0)&lt;0.005,"*",100*19182/(F69-0)),0)</f>
        <v>0.1906173001447368</v>
      </c>
    </row>
    <row r="36" spans="1:7" x14ac:dyDescent="0.2">
      <c r="A36" s="9" t="s">
        <v>124</v>
      </c>
      <c r="B36" s="15">
        <v>171817</v>
      </c>
      <c r="C36" s="15">
        <v>0</v>
      </c>
      <c r="D36" s="15">
        <v>174983</v>
      </c>
      <c r="E36" s="15">
        <v>174983</v>
      </c>
      <c r="F36" s="15">
        <v>174983</v>
      </c>
      <c r="G36" s="16">
        <f>IF(AND(F69&lt;&gt;0,174983&lt;&gt;0),IF(100*174983/(F69-0)&lt;0.005,"*",100*174983/(F69-0)),0)</f>
        <v>1.7388586712139755</v>
      </c>
    </row>
    <row r="37" spans="1:7" x14ac:dyDescent="0.2">
      <c r="A37" s="9" t="s">
        <v>125</v>
      </c>
      <c r="B37" s="15">
        <v>69904</v>
      </c>
      <c r="C37" s="15">
        <v>0</v>
      </c>
      <c r="D37" s="15">
        <v>71193</v>
      </c>
      <c r="E37" s="15">
        <v>71193</v>
      </c>
      <c r="F37" s="15">
        <v>71193</v>
      </c>
      <c r="G37" s="16">
        <f>IF(AND(F69&lt;&gt;0,71193&lt;&gt;0),IF(100*71193/(F69-0)&lt;0.005,"*",100*71193/(F69-0)),0)</f>
        <v>0.7074662417476929</v>
      </c>
    </row>
    <row r="38" spans="1:7" x14ac:dyDescent="0.2">
      <c r="A38" s="9" t="s">
        <v>126</v>
      </c>
      <c r="B38" s="15">
        <v>564746</v>
      </c>
      <c r="C38" s="15">
        <v>0</v>
      </c>
      <c r="D38" s="15">
        <v>575159</v>
      </c>
      <c r="E38" s="15">
        <v>575159</v>
      </c>
      <c r="F38" s="15">
        <v>575160</v>
      </c>
      <c r="G38" s="16">
        <f>IF(AND(F69&lt;&gt;0,575160&lt;&gt;0),IF(100*575160/(F69-0)&lt;0.005,"*",100*575160/(F69-0)),0)</f>
        <v>5.7155378141615474</v>
      </c>
    </row>
    <row r="39" spans="1:7" x14ac:dyDescent="0.2">
      <c r="A39" s="9" t="s">
        <v>127</v>
      </c>
      <c r="B39" s="15">
        <v>210677</v>
      </c>
      <c r="C39" s="15">
        <v>0</v>
      </c>
      <c r="D39" s="15">
        <v>214550</v>
      </c>
      <c r="E39" s="15">
        <v>214550</v>
      </c>
      <c r="F39" s="15">
        <v>214550</v>
      </c>
      <c r="G39" s="16">
        <f>IF(AND(F69&lt;&gt;0,214550&lt;&gt;0),IF(100*214550/(F69-0)&lt;0.005,"*",100*214550/(F69-0)),0)</f>
        <v>2.1320478441274777</v>
      </c>
    </row>
    <row r="40" spans="1:7" x14ac:dyDescent="0.2">
      <c r="A40" s="9" t="s">
        <v>128</v>
      </c>
      <c r="B40" s="15">
        <v>22657</v>
      </c>
      <c r="C40" s="15">
        <v>0</v>
      </c>
      <c r="D40" s="15">
        <v>23075</v>
      </c>
      <c r="E40" s="15">
        <v>23075</v>
      </c>
      <c r="F40" s="15">
        <v>23075</v>
      </c>
      <c r="G40" s="16">
        <f>IF(AND(F69&lt;&gt;0,23075&lt;&gt;0),IF(100*23075/(F69-0)&lt;0.005,"*",100*23075/(F69-0)),0)</f>
        <v>0.22930321138774901</v>
      </c>
    </row>
    <row r="41" spans="1:7" x14ac:dyDescent="0.2">
      <c r="A41" s="9" t="s">
        <v>129</v>
      </c>
      <c r="B41" s="15">
        <v>341431</v>
      </c>
      <c r="C41" s="15">
        <v>0</v>
      </c>
      <c r="D41" s="15">
        <v>347727</v>
      </c>
      <c r="E41" s="15">
        <v>347727</v>
      </c>
      <c r="F41" s="15">
        <v>347727</v>
      </c>
      <c r="G41" s="16">
        <f>IF(AND(F69&lt;&gt;0,347727&lt;&gt;0),IF(100*347727/(F69-0)&lt;0.005,"*",100*347727/(F69-0)),0)</f>
        <v>3.455467726380403</v>
      </c>
    </row>
    <row r="42" spans="1:7" x14ac:dyDescent="0.2">
      <c r="A42" s="9" t="s">
        <v>130</v>
      </c>
      <c r="B42" s="15">
        <v>119170</v>
      </c>
      <c r="C42" s="15">
        <v>0</v>
      </c>
      <c r="D42" s="15">
        <v>121363</v>
      </c>
      <c r="E42" s="15">
        <v>121363</v>
      </c>
      <c r="F42" s="15">
        <v>121363</v>
      </c>
      <c r="G42" s="16">
        <f>IF(AND(F69&lt;&gt;0,121363&lt;&gt;0),IF(100*121363/(F69-0)&lt;0.005,"*",100*121363/(F69-0)),0)</f>
        <v>1.2060206129426385</v>
      </c>
    </row>
    <row r="43" spans="1:7" x14ac:dyDescent="0.2">
      <c r="A43" s="9" t="s">
        <v>131</v>
      </c>
      <c r="B43" s="15">
        <v>89625</v>
      </c>
      <c r="C43" s="15">
        <v>0</v>
      </c>
      <c r="D43" s="15">
        <v>91276</v>
      </c>
      <c r="E43" s="15">
        <v>91276</v>
      </c>
      <c r="F43" s="15">
        <v>91276</v>
      </c>
      <c r="G43" s="16">
        <f>IF(AND(F69&lt;&gt;0,91276&lt;&gt;0),IF(100*91276/(F69-0)&lt;0.005,"*",100*91276/(F69-0)),0)</f>
        <v>0.9070370497346989</v>
      </c>
    </row>
    <row r="44" spans="1:7" x14ac:dyDescent="0.2">
      <c r="A44" s="9" t="s">
        <v>132</v>
      </c>
      <c r="B44" s="15">
        <v>314025</v>
      </c>
      <c r="C44" s="15">
        <v>0</v>
      </c>
      <c r="D44" s="15">
        <v>319812</v>
      </c>
      <c r="E44" s="15">
        <v>319812</v>
      </c>
      <c r="F44" s="15">
        <v>319812</v>
      </c>
      <c r="G44" s="16">
        <f>IF(AND(F69&lt;&gt;0,319812&lt;&gt;0),IF(100*319812/(F69-0)&lt;0.005,"*",100*319812/(F69-0)),0)</f>
        <v>3.1780679800796872</v>
      </c>
    </row>
    <row r="45" spans="1:7" x14ac:dyDescent="0.2">
      <c r="A45" s="9" t="s">
        <v>133</v>
      </c>
      <c r="B45" s="15">
        <v>30584</v>
      </c>
      <c r="C45" s="15">
        <v>0</v>
      </c>
      <c r="D45" s="15">
        <v>31147</v>
      </c>
      <c r="E45" s="15">
        <v>31147</v>
      </c>
      <c r="F45" s="15">
        <v>31147</v>
      </c>
      <c r="G45" s="16">
        <f>IF(AND(F69&lt;&gt;0,31147&lt;&gt;0),IF(100*31147/(F69-0)&lt;0.005,"*",100*31147/(F69-0)),0)</f>
        <v>0.30951710184590325</v>
      </c>
    </row>
    <row r="46" spans="1:7" x14ac:dyDescent="0.2">
      <c r="A46" s="9" t="s">
        <v>134</v>
      </c>
      <c r="B46" s="15">
        <v>116935</v>
      </c>
      <c r="C46" s="15">
        <v>0</v>
      </c>
      <c r="D46" s="15">
        <v>119087</v>
      </c>
      <c r="E46" s="15">
        <v>119087</v>
      </c>
      <c r="F46" s="15">
        <v>119087</v>
      </c>
      <c r="G46" s="16">
        <f>IF(AND(F69&lt;&gt;0,119087&lt;&gt;0),IF(100*119087/(F69-0)&lt;0.005,"*",100*119087/(F69-0)),0)</f>
        <v>1.183403316772822</v>
      </c>
    </row>
    <row r="47" spans="1:7" x14ac:dyDescent="0.2">
      <c r="A47" s="9" t="s">
        <v>135</v>
      </c>
      <c r="B47" s="15">
        <v>25418</v>
      </c>
      <c r="C47" s="15">
        <v>0</v>
      </c>
      <c r="D47" s="15">
        <v>25887</v>
      </c>
      <c r="E47" s="15">
        <v>25887</v>
      </c>
      <c r="F47" s="15">
        <v>25887</v>
      </c>
      <c r="G47" s="16">
        <f>IF(AND(F69&lt;&gt;0,25887&lt;&gt;0),IF(100*25887/(F69-0)&lt;0.005,"*",100*25887/(F69-0)),0)</f>
        <v>0.25724690068015854</v>
      </c>
    </row>
    <row r="48" spans="1:7" x14ac:dyDescent="0.2">
      <c r="A48" s="9" t="s">
        <v>136</v>
      </c>
      <c r="B48" s="15">
        <v>161868</v>
      </c>
      <c r="C48" s="15">
        <v>0</v>
      </c>
      <c r="D48" s="15">
        <v>164851</v>
      </c>
      <c r="E48" s="15">
        <v>164851</v>
      </c>
      <c r="F48" s="15">
        <v>164851</v>
      </c>
      <c r="G48" s="16">
        <f>IF(AND(F69&lt;&gt;0,164851&lt;&gt;0),IF(100*164851/(F69-0)&lt;0.005,"*",100*164851/(F69-0)),0)</f>
        <v>1.6381739415160048</v>
      </c>
    </row>
    <row r="49" spans="1:7" x14ac:dyDescent="0.2">
      <c r="A49" s="9" t="s">
        <v>137</v>
      </c>
      <c r="B49" s="15">
        <v>642484</v>
      </c>
      <c r="C49" s="15">
        <v>0</v>
      </c>
      <c r="D49" s="15">
        <v>654324</v>
      </c>
      <c r="E49" s="15">
        <v>654324</v>
      </c>
      <c r="F49" s="15">
        <v>654324</v>
      </c>
      <c r="G49" s="16">
        <f>IF(AND(F69&lt;&gt;0,654324&lt;&gt;0),IF(100*654324/(F69-0)&lt;0.005,"*",100*654324/(F69-0)),0)</f>
        <v>6.5022142790066075</v>
      </c>
    </row>
    <row r="50" spans="1:7" x14ac:dyDescent="0.2">
      <c r="A50" s="9" t="s">
        <v>138</v>
      </c>
      <c r="B50" s="15">
        <v>61626</v>
      </c>
      <c r="C50" s="15">
        <v>0</v>
      </c>
      <c r="D50" s="15">
        <v>62761</v>
      </c>
      <c r="E50" s="15">
        <v>62761</v>
      </c>
      <c r="F50" s="15">
        <v>62761</v>
      </c>
      <c r="G50" s="16">
        <f>IF(AND(F69&lt;&gt;0,62761&lt;&gt;0),IF(100*62761/(F69-0)&lt;0.005,"*",100*62761/(F69-0)),0)</f>
        <v>0.62367492307287176</v>
      </c>
    </row>
    <row r="51" spans="1:7" x14ac:dyDescent="0.2">
      <c r="A51" s="9" t="s">
        <v>139</v>
      </c>
      <c r="B51" s="15">
        <v>19665</v>
      </c>
      <c r="C51" s="15">
        <v>0</v>
      </c>
      <c r="D51" s="15">
        <v>20027</v>
      </c>
      <c r="E51" s="15">
        <v>20027</v>
      </c>
      <c r="F51" s="15">
        <v>20027</v>
      </c>
      <c r="G51" s="16">
        <f>IF(AND(F69&lt;&gt;0,20027&lt;&gt;0),IF(100*20027/(F69-0)&lt;0.005,"*",100*20027/(F69-0)),0)</f>
        <v>0.19901431915330223</v>
      </c>
    </row>
    <row r="52" spans="1:7" x14ac:dyDescent="0.2">
      <c r="A52" s="9" t="s">
        <v>140</v>
      </c>
      <c r="B52" s="15">
        <v>137254</v>
      </c>
      <c r="C52" s="15">
        <v>0</v>
      </c>
      <c r="D52" s="15">
        <v>139784</v>
      </c>
      <c r="E52" s="15">
        <v>139784</v>
      </c>
      <c r="F52" s="15">
        <v>139784</v>
      </c>
      <c r="G52" s="16">
        <f>IF(AND(F69&lt;&gt;0,139784&lt;&gt;0),IF(100*139784/(F69-0)&lt;0.005,"*",100*139784/(F69-0)),0)</f>
        <v>1.3890756273293654</v>
      </c>
    </row>
    <row r="53" spans="1:7" x14ac:dyDescent="0.2">
      <c r="A53" s="9" t="s">
        <v>141</v>
      </c>
      <c r="B53" s="15">
        <v>149498</v>
      </c>
      <c r="C53" s="15">
        <v>0</v>
      </c>
      <c r="D53" s="15">
        <v>152253</v>
      </c>
      <c r="E53" s="15">
        <v>152253</v>
      </c>
      <c r="F53" s="15">
        <v>152253</v>
      </c>
      <c r="G53" s="16">
        <f>IF(AND(F69&lt;&gt;0,152253&lt;&gt;0),IF(100*152253/(F69-0)&lt;0.005,"*",100*152253/(F69-0)),0)</f>
        <v>1.5129838285338655</v>
      </c>
    </row>
    <row r="54" spans="1:7" x14ac:dyDescent="0.2">
      <c r="A54" s="9" t="s">
        <v>142</v>
      </c>
      <c r="B54" s="15">
        <v>67331</v>
      </c>
      <c r="C54" s="15">
        <v>0</v>
      </c>
      <c r="D54" s="15">
        <v>68573</v>
      </c>
      <c r="E54" s="15">
        <v>68573</v>
      </c>
      <c r="F54" s="15">
        <v>68573</v>
      </c>
      <c r="G54" s="16">
        <f>IF(AND(F69&lt;&gt;0,68573&lt;&gt;0),IF(100*68573/(F69-0)&lt;0.005,"*",100*68573/(F69-0)),0)</f>
        <v>0.68143051417083911</v>
      </c>
    </row>
    <row r="55" spans="1:7" x14ac:dyDescent="0.2">
      <c r="A55" s="9" t="s">
        <v>143</v>
      </c>
      <c r="B55" s="15">
        <v>130870</v>
      </c>
      <c r="C55" s="15">
        <v>0</v>
      </c>
      <c r="D55" s="15">
        <v>133280</v>
      </c>
      <c r="E55" s="15">
        <v>133280</v>
      </c>
      <c r="F55" s="15">
        <v>133280</v>
      </c>
      <c r="G55" s="16">
        <f>IF(AND(F69&lt;&gt;0,133280&lt;&gt;0),IF(100*133280/(F69-0)&lt;0.005,"*",100*133280/(F69-0)),0)</f>
        <v>1.3244434242149159</v>
      </c>
    </row>
    <row r="56" spans="1:7" x14ac:dyDescent="0.2">
      <c r="A56" s="9" t="s">
        <v>144</v>
      </c>
      <c r="B56" s="15">
        <v>18038</v>
      </c>
      <c r="C56" s="15">
        <v>0</v>
      </c>
      <c r="D56" s="15">
        <v>18371</v>
      </c>
      <c r="E56" s="15">
        <v>18371</v>
      </c>
      <c r="F56" s="15">
        <v>18371</v>
      </c>
      <c r="G56" s="16">
        <f>IF(AND(F69&lt;&gt;0,18371&lt;&gt;0),IF(100*18371/(F69-0)&lt;0.005,"*",100*18371/(F69-0)),0)</f>
        <v>0.18255814935663431</v>
      </c>
    </row>
    <row r="57" spans="1:7" x14ac:dyDescent="0.2">
      <c r="A57" s="9" t="s">
        <v>145</v>
      </c>
      <c r="B57" s="15">
        <v>3778</v>
      </c>
      <c r="C57" s="15">
        <v>0</v>
      </c>
      <c r="D57" s="15">
        <v>3848</v>
      </c>
      <c r="E57" s="15">
        <v>3848</v>
      </c>
      <c r="F57" s="15">
        <v>3848</v>
      </c>
      <c r="G57" s="16">
        <f>IF(AND(F69&lt;&gt;0,3848&lt;&gt;0),IF(100*3848/(F69-0)&lt;0.005,"*",100*3848/(F69-0)),0)</f>
        <v>3.8238732715928848E-2</v>
      </c>
    </row>
    <row r="58" spans="1:7" x14ac:dyDescent="0.2">
      <c r="A58" s="9" t="s">
        <v>146</v>
      </c>
      <c r="B58" s="15">
        <v>3076</v>
      </c>
      <c r="C58" s="15">
        <v>0</v>
      </c>
      <c r="D58" s="15">
        <v>3133</v>
      </c>
      <c r="E58" s="15">
        <v>3133</v>
      </c>
      <c r="F58" s="15">
        <v>3133</v>
      </c>
      <c r="G58" s="16">
        <f>IF(AND(F69&lt;&gt;0,3133&lt;&gt;0),IF(100*3133/(F69-0)&lt;0.005,"*",100*3133/(F69-0)),0)</f>
        <v>3.1133562785604231E-2</v>
      </c>
    </row>
    <row r="59" spans="1:7" x14ac:dyDescent="0.2">
      <c r="A59" s="9" t="s">
        <v>147</v>
      </c>
      <c r="B59" s="15">
        <v>3311</v>
      </c>
      <c r="C59" s="15">
        <v>0</v>
      </c>
      <c r="D59" s="15">
        <v>3372</v>
      </c>
      <c r="E59" s="15">
        <v>3372</v>
      </c>
      <c r="F59" s="15">
        <v>3372</v>
      </c>
      <c r="G59" s="16">
        <f>IF(AND(F69&lt;&gt;0,3372&lt;&gt;0),IF(100*3372/(F69-0)&lt;0.005,"*",100*3372/(F69-0)),0)</f>
        <v>3.3508577629447006E-2</v>
      </c>
    </row>
    <row r="60" spans="1:7" x14ac:dyDescent="0.2">
      <c r="A60" s="9" t="s">
        <v>148</v>
      </c>
      <c r="B60" s="15">
        <v>302032</v>
      </c>
      <c r="C60" s="15">
        <v>0</v>
      </c>
      <c r="D60" s="15">
        <v>307607</v>
      </c>
      <c r="E60" s="15">
        <v>307607</v>
      </c>
      <c r="F60" s="15">
        <v>307607</v>
      </c>
      <c r="G60" s="16">
        <f>IF(AND(F69&lt;&gt;0,307607&lt;&gt;0),IF(100*307607/(F69-0)&lt;0.005,"*",100*307607/(F69-0)),0)</f>
        <v>3.0567832262340762</v>
      </c>
    </row>
    <row r="61" spans="1:7" x14ac:dyDescent="0.2">
      <c r="A61" s="9" t="s">
        <v>149</v>
      </c>
      <c r="B61" s="15">
        <v>1734</v>
      </c>
      <c r="C61" s="15">
        <v>0</v>
      </c>
      <c r="D61" s="15">
        <v>1766</v>
      </c>
      <c r="E61" s="15">
        <v>1766</v>
      </c>
      <c r="F61" s="15">
        <v>1766</v>
      </c>
      <c r="G61" s="16">
        <f>IF(AND(F69&lt;&gt;0,1766&lt;&gt;0),IF(100*1766/(F69-0)&lt;0.005,"*",100*1766/(F69-0)),0)</f>
        <v>1.7549272862871709E-2</v>
      </c>
    </row>
    <row r="62" spans="1:7" x14ac:dyDescent="0.2">
      <c r="A62" s="9" t="s">
        <v>150</v>
      </c>
      <c r="B62" s="15">
        <v>10173</v>
      </c>
      <c r="C62" s="15">
        <v>0</v>
      </c>
      <c r="D62" s="15">
        <v>10361</v>
      </c>
      <c r="E62" s="15">
        <v>10361</v>
      </c>
      <c r="F62" s="15">
        <v>10361</v>
      </c>
      <c r="G62" s="16">
        <f>IF(AND(F69&lt;&gt;0,10361&lt;&gt;0),IF(100*10361/(F69-0)&lt;0.005,"*",100*10361/(F69-0)),0)</f>
        <v>0.1029603715357949</v>
      </c>
    </row>
    <row r="63" spans="1:7" x14ac:dyDescent="0.2">
      <c r="A63" s="9" t="s">
        <v>151</v>
      </c>
      <c r="B63" s="15">
        <v>260491</v>
      </c>
      <c r="C63" s="15">
        <v>0</v>
      </c>
      <c r="D63" s="15">
        <v>265291</v>
      </c>
      <c r="E63" s="15">
        <v>265291</v>
      </c>
      <c r="F63" s="15">
        <v>265291</v>
      </c>
      <c r="G63" s="16">
        <f>IF(AND(F69&lt;&gt;0,265291&lt;&gt;0),IF(100*265291/(F69-0)&lt;0.005,"*",100*265291/(F69-0)),0)</f>
        <v>2.636276413966081</v>
      </c>
    </row>
    <row r="64" spans="1:7" x14ac:dyDescent="0.2">
      <c r="A64" s="9" t="s">
        <v>152</v>
      </c>
      <c r="B64" s="15">
        <v>0</v>
      </c>
      <c r="C64" s="15">
        <v>0</v>
      </c>
      <c r="D64" s="15">
        <v>0</v>
      </c>
      <c r="E64" s="15">
        <v>0</v>
      </c>
      <c r="F64" s="15">
        <v>0</v>
      </c>
      <c r="G64" s="16">
        <v>0</v>
      </c>
    </row>
    <row r="65" spans="1:7" x14ac:dyDescent="0.2">
      <c r="A65" s="9" t="s">
        <v>192</v>
      </c>
      <c r="B65" s="15">
        <v>393416</v>
      </c>
      <c r="C65" s="15">
        <v>0</v>
      </c>
      <c r="D65" s="15">
        <v>400668</v>
      </c>
      <c r="E65" s="15">
        <v>400668</v>
      </c>
      <c r="F65" s="15">
        <v>400668</v>
      </c>
      <c r="G65" s="16">
        <f>IF(AND(F69&lt;&gt;0,400668&lt;&gt;0),IF(100*400668/(F69-0)&lt;0.005,"*",100*400668/(F69-0)),0)</f>
        <v>3.981558357543082</v>
      </c>
    </row>
    <row r="66" spans="1:7" x14ac:dyDescent="0.2">
      <c r="A66" s="9" t="s">
        <v>183</v>
      </c>
      <c r="B66" s="15">
        <v>235974</v>
      </c>
      <c r="C66" s="15">
        <v>0</v>
      </c>
      <c r="D66" s="15">
        <v>246212</v>
      </c>
      <c r="E66" s="15">
        <v>246212</v>
      </c>
      <c r="F66" s="15">
        <v>243679</v>
      </c>
      <c r="G66" s="16">
        <f>IF(AND(F69&lt;&gt;0,243679&lt;&gt;0),IF(100*243679/(F69-0)&lt;0.005,"*",100*243679/(F69-0)),0)</f>
        <v>2.4215114733588425</v>
      </c>
    </row>
    <row r="67" spans="1:7" ht="15" x14ac:dyDescent="0.2">
      <c r="A67" s="9" t="s">
        <v>186</v>
      </c>
      <c r="B67" s="21" t="s">
        <v>451</v>
      </c>
      <c r="C67" s="15">
        <v>0</v>
      </c>
      <c r="D67" s="21" t="s">
        <v>452</v>
      </c>
      <c r="E67" s="15">
        <v>771546</v>
      </c>
      <c r="F67" s="21" t="s">
        <v>453</v>
      </c>
      <c r="G67" s="16">
        <f>IF(AND(F69&lt;&gt;0,418519&lt;&gt;0),IF(100*418519/(F69-0)&lt;0.005,"*",100*418519/(F69-0)),0)</f>
        <v>4.1589491105867529</v>
      </c>
    </row>
    <row r="68" spans="1:7" x14ac:dyDescent="0.2">
      <c r="A68" s="9" t="s">
        <v>173</v>
      </c>
      <c r="B68" s="15">
        <v>101767</v>
      </c>
      <c r="C68" s="15">
        <v>0</v>
      </c>
      <c r="D68" s="15">
        <v>109291</v>
      </c>
      <c r="E68" s="15">
        <v>109291</v>
      </c>
      <c r="F68" s="15">
        <v>105446</v>
      </c>
      <c r="G68" s="16">
        <f>IF(AND(F69&lt;&gt;0,105446&lt;&gt;0),IF(100*105446/(F69-0)&lt;0.005,"*",100*105446/(F69-0)),0)</f>
        <v>1.0478485992629505</v>
      </c>
    </row>
    <row r="69" spans="1:7" ht="15" customHeight="1" x14ac:dyDescent="0.2">
      <c r="A69" s="17" t="s">
        <v>93</v>
      </c>
      <c r="B69" s="18">
        <f>143507+16991+151262+92082+1173974+103820+66995+19519+31914+376991+236460+29002+31755+363170+138389+67693+71953+156021+188036+37488+102761+143821+322772+103368+206566+167211+32050+50954+38248+18834+171817+69904+564746+210677+22657+341431+119170+89625+314025+30584+116935+25418+161868+642484+61626+19665+137254+149498+67331+130870+18038+3778+3076+3311+302032+1734+10173+260491+0+393416+235974+92031+101767+0</f>
        <v>9557013</v>
      </c>
      <c r="C69" s="18">
        <f>0+0+0+0+0+0+0+0+0+0+0+0+0+0+0+0+0+0+0+0+0+0+0+0+0+0+0+0+0+0+0+0+0+0+0+0+0+0+0+0+0+0+0+0+0+0+0+0+0+0+0+0+0+0+0+0+0+0+0+0+0+0+0+0</f>
        <v>0</v>
      </c>
      <c r="D69" s="18">
        <f>146151+17304+154047+93773+1195614+105732+68231+19877+32501+383931+240816+29537+32341+369864+140939+68943+73282+158897+191502+38179+104658+146474+328720+105274+210377+170292+32640+51893+38950+19182+174983+71193+575159+214550+23075+347727+121363+91276+319812+31147+119087+25887+164851+654324+62761+20027+139784+152253+68573+133280+18371+3848+3133+3372+307607+1766+10361+265291+0+400668+246212+771546+109291+0</f>
        <v>10422499</v>
      </c>
      <c r="E69" s="18">
        <f>SUM(C69:D69)</f>
        <v>10422499</v>
      </c>
      <c r="F69" s="18">
        <f>146151+17304+154047+93773+1195614+105732+68231+19877+32501+383931+240816+29537+32341+369864+140939+68943+73282+158897+191502+38179+104658+146474+328720+105274+210377+170292+32640+51893+38950+19182+174983+71193+575160+214550+23075+347727+121363+91276+319812+31147+119087+25887+164851+654324+62761+20027+139784+152253+68573+133280+18371+3848+3133+3372+307607+1766+10361+265291+0+400668+243679+418519+105446+0</f>
        <v>10063095</v>
      </c>
      <c r="G69" s="19" t="s">
        <v>295</v>
      </c>
    </row>
    <row r="70" spans="1:7" ht="15" customHeight="1" x14ac:dyDescent="0.2">
      <c r="A70" s="80" t="s">
        <v>154</v>
      </c>
      <c r="B70" s="80"/>
      <c r="C70" s="80"/>
      <c r="D70" s="80"/>
      <c r="E70" s="80"/>
      <c r="F70" s="80"/>
      <c r="G70" s="80"/>
    </row>
    <row r="71" spans="1:7" ht="15" customHeight="1" x14ac:dyDescent="0.2">
      <c r="A71" s="66" t="s">
        <v>194</v>
      </c>
      <c r="B71" s="66"/>
      <c r="C71" s="66"/>
      <c r="D71" s="66"/>
      <c r="E71" s="66"/>
      <c r="F71" s="66"/>
      <c r="G71" s="66"/>
    </row>
    <row r="72" spans="1:7" ht="30.75" customHeight="1" x14ac:dyDescent="0.2">
      <c r="A72" s="66" t="s">
        <v>195</v>
      </c>
      <c r="B72" s="66"/>
      <c r="C72" s="66"/>
      <c r="D72" s="66"/>
      <c r="E72" s="66"/>
      <c r="F72" s="66"/>
      <c r="G72" s="66"/>
    </row>
    <row r="73" spans="1:7" ht="45" customHeight="1" x14ac:dyDescent="0.2">
      <c r="A73" s="66" t="s">
        <v>450</v>
      </c>
      <c r="B73" s="66"/>
      <c r="C73" s="66"/>
      <c r="D73" s="66"/>
      <c r="E73" s="66"/>
      <c r="F73" s="66"/>
      <c r="G73" s="66"/>
    </row>
    <row r="74" spans="1:7" ht="15" x14ac:dyDescent="0.2">
      <c r="A74" s="66" t="s">
        <v>299</v>
      </c>
      <c r="B74" s="66"/>
      <c r="C74" s="66"/>
      <c r="D74" s="66"/>
      <c r="E74" s="66"/>
      <c r="F74" s="66"/>
      <c r="G74" s="66"/>
    </row>
  </sheetData>
  <mergeCells count="9">
    <mergeCell ref="A74:G74"/>
    <mergeCell ref="A72:G72"/>
    <mergeCell ref="A73:G73"/>
    <mergeCell ref="A4:A5"/>
    <mergeCell ref="B4:B5"/>
    <mergeCell ref="F4:F5"/>
    <mergeCell ref="G4:G5"/>
    <mergeCell ref="A70:G70"/>
    <mergeCell ref="A71:G71"/>
  </mergeCells>
  <pageMargins left="0.7" right="0.7" top="0.75" bottom="0.75" header="0.3" footer="0.3"/>
  <pageSetup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197</v>
      </c>
    </row>
    <row r="2" spans="1:7" x14ac:dyDescent="0.2">
      <c r="A2" s="11" t="s">
        <v>198</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36821</v>
      </c>
      <c r="C6" s="15">
        <v>0</v>
      </c>
      <c r="D6" s="15">
        <v>37288</v>
      </c>
      <c r="E6" s="15">
        <v>37288</v>
      </c>
      <c r="F6" s="15">
        <v>38380</v>
      </c>
      <c r="G6" s="16">
        <v>0.7286103134619013</v>
      </c>
    </row>
    <row r="7" spans="1:7" x14ac:dyDescent="0.2">
      <c r="A7" s="9" t="s">
        <v>95</v>
      </c>
      <c r="B7" s="15">
        <v>23883</v>
      </c>
      <c r="C7" s="15">
        <v>0</v>
      </c>
      <c r="D7" s="15">
        <v>24186</v>
      </c>
      <c r="E7" s="15">
        <v>24186</v>
      </c>
      <c r="F7" s="15">
        <v>24894</v>
      </c>
      <c r="G7" s="16">
        <v>0.47259054568318321</v>
      </c>
    </row>
    <row r="8" spans="1:7" x14ac:dyDescent="0.2">
      <c r="A8" s="9" t="s">
        <v>96</v>
      </c>
      <c r="B8" s="15">
        <v>179805</v>
      </c>
      <c r="C8" s="15">
        <v>0</v>
      </c>
      <c r="D8" s="15">
        <v>182083</v>
      </c>
      <c r="E8" s="15">
        <v>182083</v>
      </c>
      <c r="F8" s="15">
        <v>187416</v>
      </c>
      <c r="G8" s="16">
        <v>3.5579267980139577</v>
      </c>
    </row>
    <row r="9" spans="1:7" x14ac:dyDescent="0.2">
      <c r="A9" s="9" t="s">
        <v>97</v>
      </c>
      <c r="B9" s="15">
        <v>41223</v>
      </c>
      <c r="C9" s="15">
        <v>0</v>
      </c>
      <c r="D9" s="15">
        <v>41746</v>
      </c>
      <c r="E9" s="15">
        <v>41746</v>
      </c>
      <c r="F9" s="15">
        <v>42968</v>
      </c>
      <c r="G9" s="16">
        <v>0.81570943066261015</v>
      </c>
    </row>
    <row r="10" spans="1:7" x14ac:dyDescent="0.2">
      <c r="A10" s="9" t="s">
        <v>98</v>
      </c>
      <c r="B10" s="15">
        <v>1457008</v>
      </c>
      <c r="C10" s="15">
        <v>0</v>
      </c>
      <c r="D10" s="15">
        <v>1475468</v>
      </c>
      <c r="E10" s="15">
        <v>1475468</v>
      </c>
      <c r="F10" s="15">
        <v>1518685</v>
      </c>
      <c r="G10" s="16">
        <v>28.830889887959554</v>
      </c>
    </row>
    <row r="11" spans="1:7" x14ac:dyDescent="0.2">
      <c r="A11" s="9" t="s">
        <v>99</v>
      </c>
      <c r="B11" s="15">
        <v>68739</v>
      </c>
      <c r="C11" s="15">
        <v>0</v>
      </c>
      <c r="D11" s="15">
        <v>69610</v>
      </c>
      <c r="E11" s="15">
        <v>69610</v>
      </c>
      <c r="F11" s="15">
        <v>71649</v>
      </c>
      <c r="G11" s="16">
        <v>1.3601928178538762</v>
      </c>
    </row>
    <row r="12" spans="1:7" x14ac:dyDescent="0.2">
      <c r="A12" s="9" t="s">
        <v>100</v>
      </c>
      <c r="B12" s="15">
        <v>76502</v>
      </c>
      <c r="C12" s="15">
        <v>0</v>
      </c>
      <c r="D12" s="15">
        <v>77471</v>
      </c>
      <c r="E12" s="15">
        <v>77471</v>
      </c>
      <c r="F12" s="15">
        <v>79740</v>
      </c>
      <c r="G12" s="16">
        <v>1.5137932880524234</v>
      </c>
    </row>
    <row r="13" spans="1:7" x14ac:dyDescent="0.2">
      <c r="A13" s="9" t="s">
        <v>101</v>
      </c>
      <c r="B13" s="15">
        <v>6389</v>
      </c>
      <c r="C13" s="15">
        <v>0</v>
      </c>
      <c r="D13" s="15">
        <v>6470</v>
      </c>
      <c r="E13" s="15">
        <v>6470</v>
      </c>
      <c r="F13" s="15">
        <v>6659</v>
      </c>
      <c r="G13" s="16">
        <v>0.12641521827365299</v>
      </c>
    </row>
    <row r="14" spans="1:7" x14ac:dyDescent="0.2">
      <c r="A14" s="9" t="s">
        <v>102</v>
      </c>
      <c r="B14" s="15">
        <v>45952</v>
      </c>
      <c r="C14" s="15">
        <v>0</v>
      </c>
      <c r="D14" s="15">
        <v>46534</v>
      </c>
      <c r="E14" s="15">
        <v>46534</v>
      </c>
      <c r="F14" s="15">
        <v>47897</v>
      </c>
      <c r="G14" s="16">
        <v>0.90928213089850674</v>
      </c>
    </row>
    <row r="15" spans="1:7" x14ac:dyDescent="0.2">
      <c r="A15" s="9" t="s">
        <v>103</v>
      </c>
      <c r="B15" s="15">
        <v>252213</v>
      </c>
      <c r="C15" s="15">
        <v>0</v>
      </c>
      <c r="D15" s="15">
        <v>255409</v>
      </c>
      <c r="E15" s="15">
        <v>255409</v>
      </c>
      <c r="F15" s="15">
        <v>262890</v>
      </c>
      <c r="G15" s="16">
        <v>4.990733853725879</v>
      </c>
    </row>
    <row r="16" spans="1:7" x14ac:dyDescent="0.2">
      <c r="A16" s="9" t="s">
        <v>104</v>
      </c>
      <c r="B16" s="15">
        <v>90031</v>
      </c>
      <c r="C16" s="15">
        <v>0</v>
      </c>
      <c r="D16" s="15">
        <v>91172</v>
      </c>
      <c r="E16" s="15">
        <v>91172</v>
      </c>
      <c r="F16" s="15">
        <v>93842</v>
      </c>
      <c r="G16" s="16">
        <v>1.7815072703463195</v>
      </c>
    </row>
    <row r="17" spans="1:7" x14ac:dyDescent="0.2">
      <c r="A17" s="9" t="s">
        <v>105</v>
      </c>
      <c r="B17" s="15">
        <v>19662</v>
      </c>
      <c r="C17" s="15">
        <v>0</v>
      </c>
      <c r="D17" s="15">
        <v>19911</v>
      </c>
      <c r="E17" s="15">
        <v>19911</v>
      </c>
      <c r="F17" s="15">
        <v>20494</v>
      </c>
      <c r="G17" s="16">
        <v>0.38906044200334045</v>
      </c>
    </row>
    <row r="18" spans="1:7" x14ac:dyDescent="0.2">
      <c r="A18" s="9" t="s">
        <v>106</v>
      </c>
      <c r="B18" s="15">
        <v>13960</v>
      </c>
      <c r="C18" s="15">
        <v>0</v>
      </c>
      <c r="D18" s="15">
        <v>14137</v>
      </c>
      <c r="E18" s="15">
        <v>14137</v>
      </c>
      <c r="F18" s="15">
        <v>14551</v>
      </c>
      <c r="G18" s="16">
        <v>0.27623784969213461</v>
      </c>
    </row>
    <row r="19" spans="1:7" x14ac:dyDescent="0.2">
      <c r="A19" s="9" t="s">
        <v>107</v>
      </c>
      <c r="B19" s="15">
        <v>184619</v>
      </c>
      <c r="C19" s="15">
        <v>0</v>
      </c>
      <c r="D19" s="15">
        <v>186959</v>
      </c>
      <c r="E19" s="15">
        <v>186959</v>
      </c>
      <c r="F19" s="15">
        <v>192435</v>
      </c>
      <c r="G19" s="16">
        <v>3.6532080685523969</v>
      </c>
    </row>
    <row r="20" spans="1:7" x14ac:dyDescent="0.2">
      <c r="A20" s="9" t="s">
        <v>108</v>
      </c>
      <c r="B20" s="15">
        <v>13593</v>
      </c>
      <c r="C20" s="15">
        <v>0</v>
      </c>
      <c r="D20" s="15">
        <v>13765</v>
      </c>
      <c r="E20" s="15">
        <v>13765</v>
      </c>
      <c r="F20" s="15">
        <v>14168</v>
      </c>
      <c r="G20" s="16">
        <v>0.26896693384909376</v>
      </c>
    </row>
    <row r="21" spans="1:7" x14ac:dyDescent="0.2">
      <c r="A21" s="9" t="s">
        <v>109</v>
      </c>
      <c r="B21" s="15">
        <v>19700</v>
      </c>
      <c r="C21" s="15">
        <v>0</v>
      </c>
      <c r="D21" s="15">
        <v>19950</v>
      </c>
      <c r="E21" s="15">
        <v>19950</v>
      </c>
      <c r="F21" s="15">
        <v>20534</v>
      </c>
      <c r="G21" s="16">
        <v>0.38981980658224813</v>
      </c>
    </row>
    <row r="22" spans="1:7" x14ac:dyDescent="0.2">
      <c r="A22" s="9" t="s">
        <v>110</v>
      </c>
      <c r="B22" s="15">
        <v>25702</v>
      </c>
      <c r="C22" s="15">
        <v>0</v>
      </c>
      <c r="D22" s="15">
        <v>26027</v>
      </c>
      <c r="E22" s="15">
        <v>26027</v>
      </c>
      <c r="F22" s="15">
        <v>26790</v>
      </c>
      <c r="G22" s="16">
        <v>0.50858442672340642</v>
      </c>
    </row>
    <row r="23" spans="1:7" x14ac:dyDescent="0.2">
      <c r="A23" s="9" t="s">
        <v>111</v>
      </c>
      <c r="B23" s="15">
        <v>52607</v>
      </c>
      <c r="C23" s="15">
        <v>0</v>
      </c>
      <c r="D23" s="15">
        <v>53274</v>
      </c>
      <c r="E23" s="15">
        <v>53274</v>
      </c>
      <c r="F23" s="15">
        <v>54834</v>
      </c>
      <c r="G23" s="16">
        <v>1.040974932995568</v>
      </c>
    </row>
    <row r="24" spans="1:7" x14ac:dyDescent="0.2">
      <c r="A24" s="9" t="s">
        <v>112</v>
      </c>
      <c r="B24" s="15">
        <v>52479</v>
      </c>
      <c r="C24" s="15">
        <v>0</v>
      </c>
      <c r="D24" s="15">
        <v>53144</v>
      </c>
      <c r="E24" s="15">
        <v>53144</v>
      </c>
      <c r="F24" s="15">
        <v>54701</v>
      </c>
      <c r="G24" s="16">
        <v>1.0384500457707</v>
      </c>
    </row>
    <row r="25" spans="1:7" x14ac:dyDescent="0.2">
      <c r="A25" s="9" t="s">
        <v>113</v>
      </c>
      <c r="B25" s="15">
        <v>17213</v>
      </c>
      <c r="C25" s="15">
        <v>0</v>
      </c>
      <c r="D25" s="15">
        <v>17431</v>
      </c>
      <c r="E25" s="15">
        <v>17431</v>
      </c>
      <c r="F25" s="15">
        <v>17942</v>
      </c>
      <c r="G25" s="16">
        <v>0.34061298186903161</v>
      </c>
    </row>
    <row r="26" spans="1:7" x14ac:dyDescent="0.2">
      <c r="A26" s="9" t="s">
        <v>114</v>
      </c>
      <c r="B26" s="15">
        <v>67405</v>
      </c>
      <c r="C26" s="15">
        <v>0</v>
      </c>
      <c r="D26" s="15">
        <v>68259</v>
      </c>
      <c r="E26" s="15">
        <v>68259</v>
      </c>
      <c r="F26" s="15">
        <v>70259</v>
      </c>
      <c r="G26" s="16">
        <v>1.3338048987368349</v>
      </c>
    </row>
    <row r="27" spans="1:7" x14ac:dyDescent="0.2">
      <c r="A27" s="9" t="s">
        <v>115</v>
      </c>
      <c r="B27" s="15">
        <v>136368</v>
      </c>
      <c r="C27" s="15">
        <v>0</v>
      </c>
      <c r="D27" s="15">
        <v>138096</v>
      </c>
      <c r="E27" s="15">
        <v>138096</v>
      </c>
      <c r="F27" s="15">
        <v>142141</v>
      </c>
      <c r="G27" s="16">
        <v>2.6984210152628485</v>
      </c>
    </row>
    <row r="28" spans="1:7" x14ac:dyDescent="0.2">
      <c r="A28" s="9" t="s">
        <v>116</v>
      </c>
      <c r="B28" s="15">
        <v>118709</v>
      </c>
      <c r="C28" s="15">
        <v>0</v>
      </c>
      <c r="D28" s="15">
        <v>120213</v>
      </c>
      <c r="E28" s="15">
        <v>120213</v>
      </c>
      <c r="F28" s="15">
        <v>123734</v>
      </c>
      <c r="G28" s="16">
        <v>2.3489804201640152</v>
      </c>
    </row>
    <row r="29" spans="1:7" x14ac:dyDescent="0.2">
      <c r="A29" s="9" t="s">
        <v>117</v>
      </c>
      <c r="B29" s="15">
        <v>60736</v>
      </c>
      <c r="C29" s="15">
        <v>0</v>
      </c>
      <c r="D29" s="15">
        <v>61506</v>
      </c>
      <c r="E29" s="15">
        <v>61506</v>
      </c>
      <c r="F29" s="15">
        <v>63307</v>
      </c>
      <c r="G29" s="16">
        <v>1.2018273349226833</v>
      </c>
    </row>
    <row r="30" spans="1:7" x14ac:dyDescent="0.2">
      <c r="A30" s="9" t="s">
        <v>118</v>
      </c>
      <c r="B30" s="15">
        <v>25751</v>
      </c>
      <c r="C30" s="15">
        <v>0</v>
      </c>
      <c r="D30" s="15">
        <v>26077</v>
      </c>
      <c r="E30" s="15">
        <v>26077</v>
      </c>
      <c r="F30" s="15">
        <v>26841</v>
      </c>
      <c r="G30" s="16">
        <v>0.50955261656151363</v>
      </c>
    </row>
    <row r="31" spans="1:7" x14ac:dyDescent="0.2">
      <c r="A31" s="9" t="s">
        <v>119</v>
      </c>
      <c r="B31" s="15">
        <v>52441</v>
      </c>
      <c r="C31" s="15">
        <v>0</v>
      </c>
      <c r="D31" s="15">
        <v>53106</v>
      </c>
      <c r="E31" s="15">
        <v>53106</v>
      </c>
      <c r="F31" s="15">
        <v>54661</v>
      </c>
      <c r="G31" s="16">
        <v>1.0376906811917923</v>
      </c>
    </row>
    <row r="32" spans="1:7" x14ac:dyDescent="0.2">
      <c r="A32" s="9" t="s">
        <v>120</v>
      </c>
      <c r="B32" s="15">
        <v>16562</v>
      </c>
      <c r="C32" s="15">
        <v>0</v>
      </c>
      <c r="D32" s="15">
        <v>16772</v>
      </c>
      <c r="E32" s="15">
        <v>16772</v>
      </c>
      <c r="F32" s="15">
        <v>17264</v>
      </c>
      <c r="G32" s="16">
        <v>0.32774175225654678</v>
      </c>
    </row>
    <row r="33" spans="1:7" x14ac:dyDescent="0.2">
      <c r="A33" s="9" t="s">
        <v>121</v>
      </c>
      <c r="B33" s="15">
        <v>19325</v>
      </c>
      <c r="C33" s="15">
        <v>0</v>
      </c>
      <c r="D33" s="15">
        <v>19570</v>
      </c>
      <c r="E33" s="15">
        <v>19570</v>
      </c>
      <c r="F33" s="15">
        <v>20143</v>
      </c>
      <c r="G33" s="16">
        <v>0.38239701782342572</v>
      </c>
    </row>
    <row r="34" spans="1:7" x14ac:dyDescent="0.2">
      <c r="A34" s="9" t="s">
        <v>122</v>
      </c>
      <c r="B34" s="15">
        <v>49617</v>
      </c>
      <c r="C34" s="15">
        <v>0</v>
      </c>
      <c r="D34" s="15">
        <v>50246</v>
      </c>
      <c r="E34" s="15">
        <v>50246</v>
      </c>
      <c r="F34" s="15">
        <v>51718</v>
      </c>
      <c r="G34" s="16">
        <v>0.98182043229866112</v>
      </c>
    </row>
    <row r="35" spans="1:7" x14ac:dyDescent="0.2">
      <c r="A35" s="9" t="s">
        <v>123</v>
      </c>
      <c r="B35" s="15">
        <v>15077</v>
      </c>
      <c r="C35" s="15">
        <v>0</v>
      </c>
      <c r="D35" s="15">
        <v>15268</v>
      </c>
      <c r="E35" s="15">
        <v>15268</v>
      </c>
      <c r="F35" s="15">
        <v>15715</v>
      </c>
      <c r="G35" s="16">
        <v>0.29833535893834756</v>
      </c>
    </row>
    <row r="36" spans="1:7" x14ac:dyDescent="0.2">
      <c r="A36" s="9" t="s">
        <v>124</v>
      </c>
      <c r="B36" s="15">
        <v>90859</v>
      </c>
      <c r="C36" s="15">
        <v>0</v>
      </c>
      <c r="D36" s="15">
        <v>92011</v>
      </c>
      <c r="E36" s="15">
        <v>92011</v>
      </c>
      <c r="F36" s="15">
        <v>94706</v>
      </c>
      <c r="G36" s="16">
        <v>1.797909545250725</v>
      </c>
    </row>
    <row r="37" spans="1:7" x14ac:dyDescent="0.2">
      <c r="A37" s="9" t="s">
        <v>125</v>
      </c>
      <c r="B37" s="15">
        <v>20961</v>
      </c>
      <c r="C37" s="15">
        <v>0</v>
      </c>
      <c r="D37" s="15">
        <v>21227</v>
      </c>
      <c r="E37" s="15">
        <v>21227</v>
      </c>
      <c r="F37" s="15">
        <v>21848</v>
      </c>
      <c r="G37" s="16">
        <v>0.41476493299936479</v>
      </c>
    </row>
    <row r="38" spans="1:7" x14ac:dyDescent="0.2">
      <c r="A38" s="9" t="s">
        <v>126</v>
      </c>
      <c r="B38" s="15">
        <v>331402</v>
      </c>
      <c r="C38" s="15">
        <v>0</v>
      </c>
      <c r="D38" s="15">
        <v>335600</v>
      </c>
      <c r="E38" s="15">
        <v>335600</v>
      </c>
      <c r="F38" s="15">
        <v>345430</v>
      </c>
      <c r="G38" s="16">
        <v>6.5576826623018389</v>
      </c>
    </row>
    <row r="39" spans="1:7" x14ac:dyDescent="0.2">
      <c r="A39" s="9" t="s">
        <v>127</v>
      </c>
      <c r="B39" s="15">
        <v>107311</v>
      </c>
      <c r="C39" s="15">
        <v>0</v>
      </c>
      <c r="D39" s="15">
        <v>108671</v>
      </c>
      <c r="E39" s="15">
        <v>108671</v>
      </c>
      <c r="F39" s="15">
        <v>111854</v>
      </c>
      <c r="G39" s="16">
        <v>2.1234491402284394</v>
      </c>
    </row>
    <row r="40" spans="1:7" x14ac:dyDescent="0.2">
      <c r="A40" s="9" t="s">
        <v>128</v>
      </c>
      <c r="B40" s="15">
        <v>13908</v>
      </c>
      <c r="C40" s="15">
        <v>0</v>
      </c>
      <c r="D40" s="15">
        <v>14084</v>
      </c>
      <c r="E40" s="15">
        <v>14084</v>
      </c>
      <c r="F40" s="15">
        <v>14497</v>
      </c>
      <c r="G40" s="16">
        <v>0.27521270751060928</v>
      </c>
    </row>
    <row r="41" spans="1:7" x14ac:dyDescent="0.2">
      <c r="A41" s="9" t="s">
        <v>129</v>
      </c>
      <c r="B41" s="15">
        <v>210179</v>
      </c>
      <c r="C41" s="15">
        <v>0</v>
      </c>
      <c r="D41" s="15">
        <v>212841</v>
      </c>
      <c r="E41" s="15">
        <v>212841</v>
      </c>
      <c r="F41" s="15">
        <v>219076</v>
      </c>
      <c r="G41" s="16">
        <v>4.1589638622193723</v>
      </c>
    </row>
    <row r="42" spans="1:7" x14ac:dyDescent="0.2">
      <c r="A42" s="9" t="s">
        <v>130</v>
      </c>
      <c r="B42" s="15">
        <v>64280</v>
      </c>
      <c r="C42" s="15">
        <v>0</v>
      </c>
      <c r="D42" s="15">
        <v>65094</v>
      </c>
      <c r="E42" s="15">
        <v>65094</v>
      </c>
      <c r="F42" s="15">
        <v>67001</v>
      </c>
      <c r="G42" s="16">
        <v>1.2719546537848059</v>
      </c>
    </row>
    <row r="43" spans="1:7" x14ac:dyDescent="0.2">
      <c r="A43" s="9" t="s">
        <v>131</v>
      </c>
      <c r="B43" s="15">
        <v>105689</v>
      </c>
      <c r="C43" s="15">
        <v>0</v>
      </c>
      <c r="D43" s="15">
        <v>107028</v>
      </c>
      <c r="E43" s="15">
        <v>107028</v>
      </c>
      <c r="F43" s="15">
        <v>110163</v>
      </c>
      <c r="G43" s="16">
        <v>2.0913470026551182</v>
      </c>
    </row>
    <row r="44" spans="1:7" x14ac:dyDescent="0.2">
      <c r="A44" s="9" t="s">
        <v>132</v>
      </c>
      <c r="B44" s="15">
        <v>192436</v>
      </c>
      <c r="C44" s="15">
        <v>0</v>
      </c>
      <c r="D44" s="15">
        <v>194875</v>
      </c>
      <c r="E44" s="15">
        <v>194875</v>
      </c>
      <c r="F44" s="15">
        <v>200582</v>
      </c>
      <c r="G44" s="16">
        <v>3.8078716491614149</v>
      </c>
    </row>
    <row r="45" spans="1:7" x14ac:dyDescent="0.2">
      <c r="A45" s="9" t="s">
        <v>133</v>
      </c>
      <c r="B45" s="15">
        <v>11548</v>
      </c>
      <c r="C45" s="15">
        <v>0</v>
      </c>
      <c r="D45" s="15">
        <v>11694</v>
      </c>
      <c r="E45" s="15">
        <v>11694</v>
      </c>
      <c r="F45" s="15">
        <v>12037</v>
      </c>
      <c r="G45" s="16">
        <v>0.22851178590778809</v>
      </c>
    </row>
    <row r="46" spans="1:7" x14ac:dyDescent="0.2">
      <c r="A46" s="9" t="s">
        <v>134</v>
      </c>
      <c r="B46" s="15">
        <v>40627</v>
      </c>
      <c r="C46" s="15">
        <v>0</v>
      </c>
      <c r="D46" s="15">
        <v>41142</v>
      </c>
      <c r="E46" s="15">
        <v>41142</v>
      </c>
      <c r="F46" s="15">
        <v>42347</v>
      </c>
      <c r="G46" s="16">
        <v>0.80392029557506872</v>
      </c>
    </row>
    <row r="47" spans="1:7" x14ac:dyDescent="0.2">
      <c r="A47" s="9" t="s">
        <v>135</v>
      </c>
      <c r="B47" s="15">
        <v>6374</v>
      </c>
      <c r="C47" s="15">
        <v>0</v>
      </c>
      <c r="D47" s="15">
        <v>6454</v>
      </c>
      <c r="E47" s="15">
        <v>6454</v>
      </c>
      <c r="F47" s="15">
        <v>6643</v>
      </c>
      <c r="G47" s="16">
        <v>0.12611147244208989</v>
      </c>
    </row>
    <row r="48" spans="1:7" x14ac:dyDescent="0.2">
      <c r="A48" s="9" t="s">
        <v>136</v>
      </c>
      <c r="B48" s="15">
        <v>54449</v>
      </c>
      <c r="C48" s="15">
        <v>0</v>
      </c>
      <c r="D48" s="15">
        <v>55139</v>
      </c>
      <c r="E48" s="15">
        <v>55139</v>
      </c>
      <c r="F48" s="15">
        <v>56754</v>
      </c>
      <c r="G48" s="16">
        <v>1.0774244327831357</v>
      </c>
    </row>
    <row r="49" spans="1:7" x14ac:dyDescent="0.2">
      <c r="A49" s="9" t="s">
        <v>137</v>
      </c>
      <c r="B49" s="15">
        <v>202555</v>
      </c>
      <c r="C49" s="15">
        <v>0</v>
      </c>
      <c r="D49" s="15">
        <v>205122</v>
      </c>
      <c r="E49" s="15">
        <v>205122</v>
      </c>
      <c r="F49" s="15">
        <v>211129</v>
      </c>
      <c r="G49" s="16">
        <v>4.0080971045048921</v>
      </c>
    </row>
    <row r="50" spans="1:7" x14ac:dyDescent="0.2">
      <c r="A50" s="9" t="s">
        <v>138</v>
      </c>
      <c r="B50" s="15">
        <v>28624</v>
      </c>
      <c r="C50" s="15">
        <v>0</v>
      </c>
      <c r="D50" s="15">
        <v>28986</v>
      </c>
      <c r="E50" s="15">
        <v>28986</v>
      </c>
      <c r="F50" s="15">
        <v>29835</v>
      </c>
      <c r="G50" s="16">
        <v>0.56639105529275213</v>
      </c>
    </row>
    <row r="51" spans="1:7" x14ac:dyDescent="0.2">
      <c r="A51" s="9" t="s">
        <v>139</v>
      </c>
      <c r="B51" s="15">
        <v>10478</v>
      </c>
      <c r="C51" s="15">
        <v>0</v>
      </c>
      <c r="D51" s="15">
        <v>10611</v>
      </c>
      <c r="E51" s="15">
        <v>10611</v>
      </c>
      <c r="F51" s="15">
        <v>10921</v>
      </c>
      <c r="G51" s="16">
        <v>0.20732551415626432</v>
      </c>
    </row>
    <row r="52" spans="1:7" x14ac:dyDescent="0.2">
      <c r="A52" s="9" t="s">
        <v>140</v>
      </c>
      <c r="B52" s="15">
        <v>71888</v>
      </c>
      <c r="C52" s="15">
        <v>0</v>
      </c>
      <c r="D52" s="15">
        <v>72799</v>
      </c>
      <c r="E52" s="15">
        <v>72799</v>
      </c>
      <c r="F52" s="15">
        <v>74931</v>
      </c>
      <c r="G52" s="16">
        <v>1.4224986815532499</v>
      </c>
    </row>
    <row r="53" spans="1:7" x14ac:dyDescent="0.2">
      <c r="A53" s="9" t="s">
        <v>141</v>
      </c>
      <c r="B53" s="15">
        <v>81369</v>
      </c>
      <c r="C53" s="15">
        <v>0</v>
      </c>
      <c r="D53" s="15">
        <v>82400</v>
      </c>
      <c r="E53" s="15">
        <v>82400</v>
      </c>
      <c r="F53" s="15">
        <v>84814</v>
      </c>
      <c r="G53" s="16">
        <v>1.6101186848868603</v>
      </c>
    </row>
    <row r="54" spans="1:7" x14ac:dyDescent="0.2">
      <c r="A54" s="9" t="s">
        <v>142</v>
      </c>
      <c r="B54" s="15">
        <v>54127</v>
      </c>
      <c r="C54" s="15">
        <v>0</v>
      </c>
      <c r="D54" s="15">
        <v>54813</v>
      </c>
      <c r="E54" s="15">
        <v>54813</v>
      </c>
      <c r="F54" s="15">
        <v>56418</v>
      </c>
      <c r="G54" s="16">
        <v>1.0710457703203113</v>
      </c>
    </row>
    <row r="55" spans="1:7" x14ac:dyDescent="0.2">
      <c r="A55" s="9" t="s">
        <v>143</v>
      </c>
      <c r="B55" s="15">
        <v>67240</v>
      </c>
      <c r="C55" s="15">
        <v>0</v>
      </c>
      <c r="D55" s="15">
        <v>68092</v>
      </c>
      <c r="E55" s="15">
        <v>68092</v>
      </c>
      <c r="F55" s="15">
        <v>70086</v>
      </c>
      <c r="G55" s="16">
        <v>1.3305206469330593</v>
      </c>
    </row>
    <row r="56" spans="1:7" x14ac:dyDescent="0.2">
      <c r="A56" s="9" t="s">
        <v>144</v>
      </c>
      <c r="B56" s="15">
        <v>4510</v>
      </c>
      <c r="C56" s="15">
        <v>0</v>
      </c>
      <c r="D56" s="15">
        <v>4567</v>
      </c>
      <c r="E56" s="15">
        <v>4567</v>
      </c>
      <c r="F56" s="15">
        <v>4701</v>
      </c>
      <c r="G56" s="16">
        <v>8.9244322136122933E-2</v>
      </c>
    </row>
    <row r="57" spans="1:7" x14ac:dyDescent="0.2">
      <c r="A57" s="9" t="s">
        <v>145</v>
      </c>
      <c r="B57" s="15">
        <v>0</v>
      </c>
      <c r="C57" s="15">
        <v>0</v>
      </c>
      <c r="D57" s="15">
        <v>0</v>
      </c>
      <c r="E57" s="15">
        <v>0</v>
      </c>
      <c r="F57" s="15">
        <v>0</v>
      </c>
      <c r="G57" s="16">
        <v>0</v>
      </c>
    </row>
    <row r="58" spans="1:7" x14ac:dyDescent="0.2">
      <c r="A58" s="9" t="s">
        <v>146</v>
      </c>
      <c r="B58" s="15">
        <v>0</v>
      </c>
      <c r="C58" s="15">
        <v>0</v>
      </c>
      <c r="D58" s="15">
        <v>0</v>
      </c>
      <c r="E58" s="15">
        <v>0</v>
      </c>
      <c r="F58" s="15">
        <v>0</v>
      </c>
      <c r="G58" s="16">
        <v>0</v>
      </c>
    </row>
    <row r="59" spans="1:7" x14ac:dyDescent="0.2">
      <c r="A59" s="9" t="s">
        <v>147</v>
      </c>
      <c r="B59" s="15">
        <v>0</v>
      </c>
      <c r="C59" s="15">
        <v>0</v>
      </c>
      <c r="D59" s="15">
        <v>0</v>
      </c>
      <c r="E59" s="15">
        <v>0</v>
      </c>
      <c r="F59" s="15">
        <v>0</v>
      </c>
      <c r="G59" s="16">
        <v>0</v>
      </c>
    </row>
    <row r="60" spans="1:7" x14ac:dyDescent="0.2">
      <c r="A60" s="9" t="s">
        <v>148</v>
      </c>
      <c r="B60" s="15">
        <v>4151</v>
      </c>
      <c r="C60" s="15">
        <v>0</v>
      </c>
      <c r="D60" s="15">
        <v>4204</v>
      </c>
      <c r="E60" s="15">
        <v>4204</v>
      </c>
      <c r="F60" s="15">
        <v>4327</v>
      </c>
      <c r="G60" s="16">
        <v>8.2144263323336297E-2</v>
      </c>
    </row>
    <row r="61" spans="1:7" x14ac:dyDescent="0.2">
      <c r="A61" s="9" t="s">
        <v>178</v>
      </c>
      <c r="B61" s="15">
        <v>0</v>
      </c>
      <c r="C61" s="15">
        <v>0</v>
      </c>
      <c r="D61" s="15">
        <v>0</v>
      </c>
      <c r="E61" s="15">
        <v>0</v>
      </c>
      <c r="F61" s="15">
        <v>0</v>
      </c>
      <c r="G61" s="16">
        <v>0</v>
      </c>
    </row>
    <row r="62" spans="1:7" x14ac:dyDescent="0.2">
      <c r="A62" s="9" t="s">
        <v>150</v>
      </c>
      <c r="B62" s="15">
        <v>0</v>
      </c>
      <c r="C62" s="15">
        <v>0</v>
      </c>
      <c r="D62" s="15">
        <v>0</v>
      </c>
      <c r="E62" s="15">
        <v>0</v>
      </c>
      <c r="F62" s="15">
        <v>0</v>
      </c>
      <c r="G62" s="16">
        <v>0</v>
      </c>
    </row>
    <row r="63" spans="1:7" x14ac:dyDescent="0.2">
      <c r="A63" s="9" t="s">
        <v>151</v>
      </c>
      <c r="B63" s="15">
        <v>7700</v>
      </c>
      <c r="C63" s="15">
        <v>0</v>
      </c>
      <c r="D63" s="15">
        <v>7716</v>
      </c>
      <c r="E63" s="15">
        <v>7716</v>
      </c>
      <c r="F63" s="15">
        <v>7848</v>
      </c>
      <c r="G63" s="16">
        <v>0.14898733038168321</v>
      </c>
    </row>
    <row r="64" spans="1:7" x14ac:dyDescent="0.2">
      <c r="A64" s="9" t="s">
        <v>152</v>
      </c>
      <c r="B64" s="15">
        <v>0</v>
      </c>
      <c r="C64" s="15">
        <v>0</v>
      </c>
      <c r="D64" s="15">
        <v>0</v>
      </c>
      <c r="E64" s="15">
        <v>0</v>
      </c>
      <c r="F64" s="15">
        <v>0</v>
      </c>
      <c r="G64" s="16">
        <v>0</v>
      </c>
    </row>
    <row r="65" spans="1:7" x14ac:dyDescent="0.2">
      <c r="A65" s="9" t="s">
        <v>183</v>
      </c>
      <c r="B65" s="15">
        <v>31605</v>
      </c>
      <c r="C65" s="15">
        <v>0</v>
      </c>
      <c r="D65" s="15">
        <v>30279</v>
      </c>
      <c r="E65" s="15">
        <v>30279</v>
      </c>
      <c r="F65" s="15">
        <v>32362</v>
      </c>
      <c r="G65" s="16">
        <v>0.6143639125652437</v>
      </c>
    </row>
    <row r="66" spans="1:7" ht="15" customHeight="1" x14ac:dyDescent="0.2">
      <c r="A66" s="17" t="s">
        <v>93</v>
      </c>
      <c r="B66" s="18">
        <f>36821+23883+179805+41223+1457008+68739+76502+6389+45952+252213+90031+19662+13960+184619+13593+19700+25702+52607+52479+17213+67405+136368+118709+60736+25751+52441+16562+19325+49617+15077+90859+20961+331402+107311+13908+210179+64280+105689+192436+11548+40627+6374+54449+202555+28624+10478+71888+81369+54127+67240+4510+0+0+0+4151+0+0+7700+0+31605+0</f>
        <v>5054362</v>
      </c>
      <c r="C66" s="18">
        <f>0+0+0+0+0+0+0+0+0+0+0+0+0+0+0+0+0+0+0+0+0+0+0+0+0+0+0+0+0+0+0+0+0+0+0+0+0+0+0+0+0+0+0+0+0+0+0+0+0+0+0+0+0+0+0+0+0+0+0+0+0</f>
        <v>0</v>
      </c>
      <c r="D66" s="18">
        <f>37288+24186+182083+41746+1475468+69610+77471+6470+46534+255409+91172+19911+14137+186959+13765+19950+26027+53274+53144+17431+68259+138096+120213+61506+26077+53106+16772+19570+50246+15268+92011+21227+335600+108671+14084+212841+65094+107028+194875+11694+41142+6454+55139+205122+28986+10611+72799+82400+54813+68092+4567+0+0+0+4204+0+0+7716+0+30279+0</f>
        <v>5116597</v>
      </c>
      <c r="E66" s="18">
        <f>SUM(C66:D66)</f>
        <v>5116597</v>
      </c>
      <c r="F66" s="18" t="s">
        <v>378</v>
      </c>
      <c r="G66" s="19" t="s">
        <v>215</v>
      </c>
    </row>
    <row r="67" spans="1:7" ht="34.5" customHeight="1" x14ac:dyDescent="0.2">
      <c r="A67" s="73" t="s">
        <v>376</v>
      </c>
      <c r="B67" s="73"/>
      <c r="C67" s="73"/>
      <c r="D67" s="73"/>
      <c r="E67" s="73"/>
      <c r="F67" s="73"/>
      <c r="G67" s="73"/>
    </row>
    <row r="68" spans="1:7" ht="32.25" customHeight="1" x14ac:dyDescent="0.2">
      <c r="A68" s="73" t="s">
        <v>377</v>
      </c>
      <c r="B68" s="73"/>
      <c r="C68" s="73"/>
      <c r="D68" s="73"/>
      <c r="E68" s="73"/>
      <c r="F68" s="73"/>
      <c r="G68" s="73"/>
    </row>
    <row r="69" spans="1:7" ht="15" customHeight="1" x14ac:dyDescent="0.2">
      <c r="A69" s="66" t="s">
        <v>216</v>
      </c>
      <c r="B69" s="66"/>
      <c r="C69" s="66"/>
      <c r="D69" s="66"/>
      <c r="E69" s="66"/>
      <c r="F69" s="66"/>
      <c r="G69" s="66"/>
    </row>
  </sheetData>
  <mergeCells count="7">
    <mergeCell ref="A68:G68"/>
    <mergeCell ref="A69:G69"/>
    <mergeCell ref="A4:A5"/>
    <mergeCell ref="B4:B5"/>
    <mergeCell ref="F4:F5"/>
    <mergeCell ref="G4:G5"/>
    <mergeCell ref="A67:G67"/>
  </mergeCells>
  <pageMargins left="0.7" right="0.7" top="0.75" bottom="0.75" header="0.3" footer="0.3"/>
  <pageSetup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197</v>
      </c>
    </row>
    <row r="2" spans="1:7" x14ac:dyDescent="0.2">
      <c r="A2" s="11" t="s">
        <v>199</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11915</v>
      </c>
      <c r="C6" s="15">
        <v>0</v>
      </c>
      <c r="D6" s="15">
        <v>12157</v>
      </c>
      <c r="E6" s="15">
        <v>12157</v>
      </c>
      <c r="F6" s="15">
        <v>12586</v>
      </c>
      <c r="G6" s="16">
        <v>0.42780421481985043</v>
      </c>
    </row>
    <row r="7" spans="1:7" x14ac:dyDescent="0.2">
      <c r="A7" s="9" t="s">
        <v>95</v>
      </c>
      <c r="B7" s="15">
        <v>22878</v>
      </c>
      <c r="C7" s="15">
        <v>0</v>
      </c>
      <c r="D7" s="15">
        <v>23343</v>
      </c>
      <c r="E7" s="15">
        <v>23343</v>
      </c>
      <c r="F7" s="15">
        <v>24168</v>
      </c>
      <c r="G7" s="16">
        <v>0.82148198504418768</v>
      </c>
    </row>
    <row r="8" spans="1:7" x14ac:dyDescent="0.2">
      <c r="A8" s="9" t="s">
        <v>96</v>
      </c>
      <c r="B8" s="15">
        <v>151270</v>
      </c>
      <c r="C8" s="15">
        <v>0</v>
      </c>
      <c r="D8" s="15">
        <v>154347</v>
      </c>
      <c r="E8" s="15">
        <v>154347</v>
      </c>
      <c r="F8" s="15">
        <v>159795</v>
      </c>
      <c r="G8" s="16">
        <v>5.4315091774303195</v>
      </c>
    </row>
    <row r="9" spans="1:7" x14ac:dyDescent="0.2">
      <c r="A9" s="9" t="s">
        <v>97</v>
      </c>
      <c r="B9" s="15">
        <v>25390</v>
      </c>
      <c r="C9" s="15">
        <v>0</v>
      </c>
      <c r="D9" s="15">
        <v>25906</v>
      </c>
      <c r="E9" s="15">
        <v>25906</v>
      </c>
      <c r="F9" s="15">
        <v>26821</v>
      </c>
      <c r="G9" s="16">
        <v>0.91165873555404486</v>
      </c>
    </row>
    <row r="10" spans="1:7" x14ac:dyDescent="0.2">
      <c r="A10" s="9" t="s">
        <v>98</v>
      </c>
      <c r="B10" s="15">
        <v>539646</v>
      </c>
      <c r="C10" s="15">
        <v>0</v>
      </c>
      <c r="D10" s="15">
        <v>550622</v>
      </c>
      <c r="E10" s="15">
        <v>550622</v>
      </c>
      <c r="F10" s="15">
        <v>570062</v>
      </c>
      <c r="G10" s="16">
        <v>19.376682528891909</v>
      </c>
    </row>
    <row r="11" spans="1:7" x14ac:dyDescent="0.2">
      <c r="A11" s="9" t="s">
        <v>99</v>
      </c>
      <c r="B11" s="15">
        <v>15349</v>
      </c>
      <c r="C11" s="15">
        <v>0</v>
      </c>
      <c r="D11" s="15">
        <v>15661</v>
      </c>
      <c r="E11" s="15">
        <v>15661</v>
      </c>
      <c r="F11" s="15">
        <v>16214</v>
      </c>
      <c r="G11" s="16">
        <v>0.5511216859279402</v>
      </c>
    </row>
    <row r="12" spans="1:7" x14ac:dyDescent="0.2">
      <c r="A12" s="9" t="s">
        <v>100</v>
      </c>
      <c r="B12" s="15">
        <v>43286</v>
      </c>
      <c r="C12" s="15">
        <v>0</v>
      </c>
      <c r="D12" s="15">
        <v>44166</v>
      </c>
      <c r="E12" s="15">
        <v>44166</v>
      </c>
      <c r="F12" s="15">
        <v>45726</v>
      </c>
      <c r="G12" s="16">
        <v>1.5542488103331067</v>
      </c>
    </row>
    <row r="13" spans="1:7" x14ac:dyDescent="0.2">
      <c r="A13" s="9" t="s">
        <v>101</v>
      </c>
      <c r="B13" s="15">
        <v>2270</v>
      </c>
      <c r="C13" s="15">
        <v>0</v>
      </c>
      <c r="D13" s="15">
        <v>2316</v>
      </c>
      <c r="E13" s="15">
        <v>2316</v>
      </c>
      <c r="F13" s="15">
        <v>2398</v>
      </c>
      <c r="G13" s="16">
        <v>8.1509177430319504E-2</v>
      </c>
    </row>
    <row r="14" spans="1:7" x14ac:dyDescent="0.2">
      <c r="A14" s="9" t="s">
        <v>102</v>
      </c>
      <c r="B14" s="15">
        <v>10055</v>
      </c>
      <c r="C14" s="15">
        <v>0</v>
      </c>
      <c r="D14" s="15">
        <v>10259</v>
      </c>
      <c r="E14" s="15">
        <v>10259</v>
      </c>
      <c r="F14" s="15">
        <v>10622</v>
      </c>
      <c r="G14" s="16">
        <v>0.36104690686607749</v>
      </c>
    </row>
    <row r="15" spans="1:7" x14ac:dyDescent="0.2">
      <c r="A15" s="9" t="s">
        <v>103</v>
      </c>
      <c r="B15" s="15">
        <v>140628</v>
      </c>
      <c r="C15" s="15">
        <v>0</v>
      </c>
      <c r="D15" s="15">
        <v>143488</v>
      </c>
      <c r="E15" s="15">
        <v>143488</v>
      </c>
      <c r="F15" s="15">
        <v>148553</v>
      </c>
      <c r="G15" s="16">
        <v>5.0493881713120325</v>
      </c>
    </row>
    <row r="16" spans="1:7" x14ac:dyDescent="0.2">
      <c r="A16" s="9" t="s">
        <v>104</v>
      </c>
      <c r="B16" s="15">
        <v>46703</v>
      </c>
      <c r="C16" s="15">
        <v>0</v>
      </c>
      <c r="D16" s="15">
        <v>47653</v>
      </c>
      <c r="E16" s="15">
        <v>47653</v>
      </c>
      <c r="F16" s="15">
        <v>49336</v>
      </c>
      <c r="G16" s="16">
        <v>1.6769544527532292</v>
      </c>
    </row>
    <row r="17" spans="1:7" x14ac:dyDescent="0.2">
      <c r="A17" s="9" t="s">
        <v>105</v>
      </c>
      <c r="B17" s="15">
        <v>15323</v>
      </c>
      <c r="C17" s="15">
        <v>0</v>
      </c>
      <c r="D17" s="15">
        <v>15635</v>
      </c>
      <c r="E17" s="15">
        <v>15635</v>
      </c>
      <c r="F17" s="15">
        <v>16187</v>
      </c>
      <c r="G17" s="16">
        <v>0.55020394289598917</v>
      </c>
    </row>
    <row r="18" spans="1:7" x14ac:dyDescent="0.2">
      <c r="A18" s="9" t="s">
        <v>106</v>
      </c>
      <c r="B18" s="15">
        <v>8155</v>
      </c>
      <c r="C18" s="15">
        <v>0</v>
      </c>
      <c r="D18" s="15">
        <v>8320</v>
      </c>
      <c r="E18" s="15">
        <v>8320</v>
      </c>
      <c r="F18" s="15">
        <v>8614</v>
      </c>
      <c r="G18" s="16">
        <v>0.29279401767505098</v>
      </c>
    </row>
    <row r="19" spans="1:7" x14ac:dyDescent="0.2">
      <c r="A19" s="9" t="s">
        <v>107</v>
      </c>
      <c r="B19" s="15">
        <v>80239</v>
      </c>
      <c r="C19" s="15">
        <v>0</v>
      </c>
      <c r="D19" s="15">
        <v>81871</v>
      </c>
      <c r="E19" s="15">
        <v>81871</v>
      </c>
      <c r="F19" s="15">
        <v>84761</v>
      </c>
      <c r="G19" s="16">
        <v>2.8810673011556762</v>
      </c>
    </row>
    <row r="20" spans="1:7" x14ac:dyDescent="0.2">
      <c r="A20" s="9" t="s">
        <v>108</v>
      </c>
      <c r="B20" s="15">
        <v>66722</v>
      </c>
      <c r="C20" s="15">
        <v>0</v>
      </c>
      <c r="D20" s="15">
        <v>68079</v>
      </c>
      <c r="E20" s="15">
        <v>68079</v>
      </c>
      <c r="F20" s="15">
        <v>70483</v>
      </c>
      <c r="G20" s="16">
        <v>2.3957511896668935</v>
      </c>
    </row>
    <row r="21" spans="1:7" x14ac:dyDescent="0.2">
      <c r="A21" s="9" t="s">
        <v>109</v>
      </c>
      <c r="B21" s="15">
        <v>40727</v>
      </c>
      <c r="C21" s="15">
        <v>0</v>
      </c>
      <c r="D21" s="15">
        <v>41555</v>
      </c>
      <c r="E21" s="15">
        <v>41555</v>
      </c>
      <c r="F21" s="15">
        <v>43022</v>
      </c>
      <c r="G21" s="16">
        <v>1.4623385452073419</v>
      </c>
    </row>
    <row r="22" spans="1:7" x14ac:dyDescent="0.2">
      <c r="A22" s="9" t="s">
        <v>110</v>
      </c>
      <c r="B22" s="15">
        <v>17605</v>
      </c>
      <c r="C22" s="15">
        <v>0</v>
      </c>
      <c r="D22" s="15">
        <v>17964</v>
      </c>
      <c r="E22" s="15">
        <v>17964</v>
      </c>
      <c r="F22" s="15">
        <v>18598</v>
      </c>
      <c r="G22" s="16">
        <v>0.63215499660095176</v>
      </c>
    </row>
    <row r="23" spans="1:7" x14ac:dyDescent="0.2">
      <c r="A23" s="9" t="s">
        <v>111</v>
      </c>
      <c r="B23" s="15">
        <v>58966</v>
      </c>
      <c r="C23" s="15">
        <v>0</v>
      </c>
      <c r="D23" s="15">
        <v>60165</v>
      </c>
      <c r="E23" s="15">
        <v>60165</v>
      </c>
      <c r="F23" s="15">
        <v>62289</v>
      </c>
      <c r="G23" s="16">
        <v>2.1172331747110809</v>
      </c>
    </row>
    <row r="24" spans="1:7" x14ac:dyDescent="0.2">
      <c r="A24" s="9" t="s">
        <v>112</v>
      </c>
      <c r="B24" s="15">
        <v>19737</v>
      </c>
      <c r="C24" s="15">
        <v>0</v>
      </c>
      <c r="D24" s="15">
        <v>20139</v>
      </c>
      <c r="E24" s="15">
        <v>20139</v>
      </c>
      <c r="F24" s="15">
        <v>20850</v>
      </c>
      <c r="G24" s="16">
        <v>0.7087015635622026</v>
      </c>
    </row>
    <row r="25" spans="1:7" x14ac:dyDescent="0.2">
      <c r="A25" s="9" t="s">
        <v>113</v>
      </c>
      <c r="B25" s="15">
        <v>19110</v>
      </c>
      <c r="C25" s="15">
        <v>0</v>
      </c>
      <c r="D25" s="15">
        <v>19499</v>
      </c>
      <c r="E25" s="15">
        <v>19499</v>
      </c>
      <c r="F25" s="15">
        <v>20187</v>
      </c>
      <c r="G25" s="16">
        <v>0.68616587355540448</v>
      </c>
    </row>
    <row r="26" spans="1:7" x14ac:dyDescent="0.2">
      <c r="A26" s="9" t="s">
        <v>114</v>
      </c>
      <c r="B26" s="15">
        <v>20342</v>
      </c>
      <c r="C26" s="15">
        <v>0</v>
      </c>
      <c r="D26" s="15">
        <v>20756</v>
      </c>
      <c r="E26" s="15">
        <v>20756</v>
      </c>
      <c r="F26" s="15">
        <v>21488</v>
      </c>
      <c r="G26" s="16">
        <v>0.73038749150237936</v>
      </c>
    </row>
    <row r="27" spans="1:7" x14ac:dyDescent="0.2">
      <c r="A27" s="9" t="s">
        <v>115</v>
      </c>
      <c r="B27" s="15">
        <v>31447</v>
      </c>
      <c r="C27" s="15">
        <v>0</v>
      </c>
      <c r="D27" s="15">
        <v>32086</v>
      </c>
      <c r="E27" s="15">
        <v>32086</v>
      </c>
      <c r="F27" s="15">
        <v>33219</v>
      </c>
      <c r="G27" s="16">
        <v>1.1291298436437798</v>
      </c>
    </row>
    <row r="28" spans="1:7" x14ac:dyDescent="0.2">
      <c r="A28" s="9" t="s">
        <v>116</v>
      </c>
      <c r="B28" s="15">
        <v>107660</v>
      </c>
      <c r="C28" s="15">
        <v>0</v>
      </c>
      <c r="D28" s="15">
        <v>109849</v>
      </c>
      <c r="E28" s="15">
        <v>109849</v>
      </c>
      <c r="F28" s="15">
        <v>113727</v>
      </c>
      <c r="G28" s="16">
        <v>3.8656356220258328</v>
      </c>
    </row>
    <row r="29" spans="1:7" x14ac:dyDescent="0.2">
      <c r="A29" s="9" t="s">
        <v>117</v>
      </c>
      <c r="B29" s="15">
        <v>33666</v>
      </c>
      <c r="C29" s="15">
        <v>0</v>
      </c>
      <c r="D29" s="15">
        <v>34350</v>
      </c>
      <c r="E29" s="15">
        <v>34350</v>
      </c>
      <c r="F29" s="15">
        <v>35563</v>
      </c>
      <c r="G29" s="16">
        <v>1.2088035350101971</v>
      </c>
    </row>
    <row r="30" spans="1:7" x14ac:dyDescent="0.2">
      <c r="A30" s="9" t="s">
        <v>118</v>
      </c>
      <c r="B30" s="15">
        <v>13703</v>
      </c>
      <c r="C30" s="15">
        <v>0</v>
      </c>
      <c r="D30" s="15">
        <v>13982</v>
      </c>
      <c r="E30" s="15">
        <v>13982</v>
      </c>
      <c r="F30" s="15">
        <v>14475</v>
      </c>
      <c r="G30" s="16">
        <v>0.49201223657375937</v>
      </c>
    </row>
    <row r="31" spans="1:7" x14ac:dyDescent="0.2">
      <c r="A31" s="9" t="s">
        <v>119</v>
      </c>
      <c r="B31" s="15">
        <v>29616</v>
      </c>
      <c r="C31" s="15">
        <v>0</v>
      </c>
      <c r="D31" s="15">
        <v>30219</v>
      </c>
      <c r="E31" s="15">
        <v>30219</v>
      </c>
      <c r="F31" s="15">
        <v>31286</v>
      </c>
      <c r="G31" s="16">
        <v>1.0634262406526174</v>
      </c>
    </row>
    <row r="32" spans="1:7" x14ac:dyDescent="0.2">
      <c r="A32" s="9" t="s">
        <v>120</v>
      </c>
      <c r="B32" s="15">
        <v>8849</v>
      </c>
      <c r="C32" s="15">
        <v>0</v>
      </c>
      <c r="D32" s="15">
        <v>9029</v>
      </c>
      <c r="E32" s="15">
        <v>9029</v>
      </c>
      <c r="F32" s="15">
        <v>9348</v>
      </c>
      <c r="G32" s="16">
        <v>0.31774303195105369</v>
      </c>
    </row>
    <row r="33" spans="1:7" x14ac:dyDescent="0.2">
      <c r="A33" s="9" t="s">
        <v>121</v>
      </c>
      <c r="B33" s="15">
        <v>18797</v>
      </c>
      <c r="C33" s="15">
        <v>0</v>
      </c>
      <c r="D33" s="15">
        <v>19180</v>
      </c>
      <c r="E33" s="15">
        <v>19180</v>
      </c>
      <c r="F33" s="15">
        <v>19857</v>
      </c>
      <c r="G33" s="16">
        <v>0.67494901427600273</v>
      </c>
    </row>
    <row r="34" spans="1:7" x14ac:dyDescent="0.2">
      <c r="A34" s="9" t="s">
        <v>122</v>
      </c>
      <c r="B34" s="15">
        <v>37297</v>
      </c>
      <c r="C34" s="15">
        <v>0</v>
      </c>
      <c r="D34" s="15">
        <v>38055</v>
      </c>
      <c r="E34" s="15">
        <v>38055</v>
      </c>
      <c r="F34" s="15">
        <v>39399</v>
      </c>
      <c r="G34" s="16">
        <v>1.3391910265125764</v>
      </c>
    </row>
    <row r="35" spans="1:7" x14ac:dyDescent="0.2">
      <c r="A35" s="9" t="s">
        <v>123</v>
      </c>
      <c r="B35" s="15">
        <v>3183</v>
      </c>
      <c r="C35" s="15">
        <v>0</v>
      </c>
      <c r="D35" s="15">
        <v>3248</v>
      </c>
      <c r="E35" s="15">
        <v>3248</v>
      </c>
      <c r="F35" s="15">
        <v>3362</v>
      </c>
      <c r="G35" s="16">
        <v>0.11427600271923861</v>
      </c>
    </row>
    <row r="36" spans="1:7" x14ac:dyDescent="0.2">
      <c r="A36" s="9" t="s">
        <v>124</v>
      </c>
      <c r="B36" s="15">
        <v>75540</v>
      </c>
      <c r="C36" s="15">
        <v>0</v>
      </c>
      <c r="D36" s="15">
        <v>77076</v>
      </c>
      <c r="E36" s="15">
        <v>77076</v>
      </c>
      <c r="F36" s="15">
        <v>79797</v>
      </c>
      <c r="G36" s="16">
        <v>2.7123385452073419</v>
      </c>
    </row>
    <row r="37" spans="1:7" x14ac:dyDescent="0.2">
      <c r="A37" s="9" t="s">
        <v>125</v>
      </c>
      <c r="B37" s="15">
        <v>22540</v>
      </c>
      <c r="C37" s="15">
        <v>0</v>
      </c>
      <c r="D37" s="15">
        <v>22998</v>
      </c>
      <c r="E37" s="15">
        <v>22998</v>
      </c>
      <c r="F37" s="15">
        <v>23810</v>
      </c>
      <c r="G37" s="16">
        <v>0.80931339225016996</v>
      </c>
    </row>
    <row r="38" spans="1:7" x14ac:dyDescent="0.2">
      <c r="A38" s="9" t="s">
        <v>126</v>
      </c>
      <c r="B38" s="15">
        <v>116589</v>
      </c>
      <c r="C38" s="15">
        <v>0</v>
      </c>
      <c r="D38" s="15">
        <v>118960</v>
      </c>
      <c r="E38" s="15">
        <v>118960</v>
      </c>
      <c r="F38" s="15">
        <v>123159</v>
      </c>
      <c r="G38" s="16">
        <v>4.1862338545207338</v>
      </c>
    </row>
    <row r="39" spans="1:7" x14ac:dyDescent="0.2">
      <c r="A39" s="9" t="s">
        <v>127</v>
      </c>
      <c r="B39" s="15">
        <v>71629</v>
      </c>
      <c r="C39" s="15">
        <v>0</v>
      </c>
      <c r="D39" s="15">
        <v>73086</v>
      </c>
      <c r="E39" s="15">
        <v>73086</v>
      </c>
      <c r="F39" s="15">
        <v>75666</v>
      </c>
      <c r="G39" s="16">
        <v>2.5719238613188309</v>
      </c>
    </row>
    <row r="40" spans="1:7" x14ac:dyDescent="0.2">
      <c r="A40" s="9" t="s">
        <v>128</v>
      </c>
      <c r="B40" s="15">
        <v>7495</v>
      </c>
      <c r="C40" s="15">
        <v>0</v>
      </c>
      <c r="D40" s="15">
        <v>7647</v>
      </c>
      <c r="E40" s="15">
        <v>7647</v>
      </c>
      <c r="F40" s="15">
        <v>7917</v>
      </c>
      <c r="G40" s="16">
        <v>0.26910265125764787</v>
      </c>
    </row>
    <row r="41" spans="1:7" x14ac:dyDescent="0.2">
      <c r="A41" s="9" t="s">
        <v>129</v>
      </c>
      <c r="B41" s="15">
        <v>163758</v>
      </c>
      <c r="C41" s="15">
        <v>0</v>
      </c>
      <c r="D41" s="15">
        <v>167088</v>
      </c>
      <c r="E41" s="15">
        <v>167088</v>
      </c>
      <c r="F41" s="15">
        <v>172987</v>
      </c>
      <c r="G41" s="16">
        <v>5.8799116247450716</v>
      </c>
    </row>
    <row r="42" spans="1:7" x14ac:dyDescent="0.2">
      <c r="A42" s="9" t="s">
        <v>130</v>
      </c>
      <c r="B42" s="15">
        <v>69700</v>
      </c>
      <c r="C42" s="15">
        <v>0</v>
      </c>
      <c r="D42" s="15">
        <v>71118</v>
      </c>
      <c r="E42" s="15">
        <v>71118</v>
      </c>
      <c r="F42" s="15">
        <v>73628</v>
      </c>
      <c r="G42" s="16">
        <v>2.5026512576478588</v>
      </c>
    </row>
    <row r="43" spans="1:7" x14ac:dyDescent="0.2">
      <c r="A43" s="9" t="s">
        <v>131</v>
      </c>
      <c r="B43" s="15">
        <v>39047</v>
      </c>
      <c r="C43" s="15">
        <v>0</v>
      </c>
      <c r="D43" s="15">
        <v>39841</v>
      </c>
      <c r="E43" s="15">
        <v>39841</v>
      </c>
      <c r="F43" s="15">
        <v>41247</v>
      </c>
      <c r="G43" s="16">
        <v>1.4020054384772265</v>
      </c>
    </row>
    <row r="44" spans="1:7" x14ac:dyDescent="0.2">
      <c r="A44" s="9" t="s">
        <v>132</v>
      </c>
      <c r="B44" s="15">
        <v>119888</v>
      </c>
      <c r="C44" s="15">
        <v>0</v>
      </c>
      <c r="D44" s="15">
        <v>122326</v>
      </c>
      <c r="E44" s="15">
        <v>122326</v>
      </c>
      <c r="F44" s="15">
        <v>126644</v>
      </c>
      <c r="G44" s="16">
        <v>4.3046906866077501</v>
      </c>
    </row>
    <row r="45" spans="1:7" x14ac:dyDescent="0.2">
      <c r="A45" s="9" t="s">
        <v>133</v>
      </c>
      <c r="B45" s="15">
        <v>7714</v>
      </c>
      <c r="C45" s="15">
        <v>0</v>
      </c>
      <c r="D45" s="15">
        <v>7871</v>
      </c>
      <c r="E45" s="15">
        <v>7871</v>
      </c>
      <c r="F45" s="15">
        <v>8148</v>
      </c>
      <c r="G45" s="16">
        <v>0.27695445275322911</v>
      </c>
    </row>
    <row r="46" spans="1:7" x14ac:dyDescent="0.2">
      <c r="A46" s="9" t="s">
        <v>134</v>
      </c>
      <c r="B46" s="15">
        <v>21395</v>
      </c>
      <c r="C46" s="15">
        <v>0</v>
      </c>
      <c r="D46" s="15">
        <v>21830</v>
      </c>
      <c r="E46" s="15">
        <v>21830</v>
      </c>
      <c r="F46" s="15">
        <v>22600</v>
      </c>
      <c r="G46" s="16">
        <v>0.76818490822569685</v>
      </c>
    </row>
    <row r="47" spans="1:7" x14ac:dyDescent="0.2">
      <c r="A47" s="9" t="s">
        <v>135</v>
      </c>
      <c r="B47" s="15">
        <v>4962</v>
      </c>
      <c r="C47" s="15">
        <v>0</v>
      </c>
      <c r="D47" s="15">
        <v>5063</v>
      </c>
      <c r="E47" s="15">
        <v>5063</v>
      </c>
      <c r="F47" s="15">
        <v>5242</v>
      </c>
      <c r="G47" s="16">
        <v>0.17817811012916385</v>
      </c>
    </row>
    <row r="48" spans="1:7" x14ac:dyDescent="0.2">
      <c r="A48" s="9" t="s">
        <v>136</v>
      </c>
      <c r="B48" s="15">
        <v>57129</v>
      </c>
      <c r="C48" s="15">
        <v>0</v>
      </c>
      <c r="D48" s="15">
        <v>58291</v>
      </c>
      <c r="E48" s="15">
        <v>58291</v>
      </c>
      <c r="F48" s="15">
        <v>60348</v>
      </c>
      <c r="G48" s="16">
        <v>2.0512576478585998</v>
      </c>
    </row>
    <row r="49" spans="1:7" x14ac:dyDescent="0.2">
      <c r="A49" s="9" t="s">
        <v>137</v>
      </c>
      <c r="B49" s="15">
        <v>141678</v>
      </c>
      <c r="C49" s="15">
        <v>0</v>
      </c>
      <c r="D49" s="15">
        <v>144560</v>
      </c>
      <c r="E49" s="15">
        <v>144560</v>
      </c>
      <c r="F49" s="15">
        <v>149663</v>
      </c>
      <c r="G49" s="16">
        <v>5.0871176070700201</v>
      </c>
    </row>
    <row r="50" spans="1:7" x14ac:dyDescent="0.2">
      <c r="A50" s="9" t="s">
        <v>138</v>
      </c>
      <c r="B50" s="15">
        <v>10879</v>
      </c>
      <c r="C50" s="15">
        <v>0</v>
      </c>
      <c r="D50" s="15">
        <v>11100</v>
      </c>
      <c r="E50" s="15">
        <v>11100</v>
      </c>
      <c r="F50" s="15">
        <v>11492</v>
      </c>
      <c r="G50" s="16">
        <v>0.39061862678450032</v>
      </c>
    </row>
    <row r="51" spans="1:7" x14ac:dyDescent="0.2">
      <c r="A51" s="9" t="s">
        <v>139</v>
      </c>
      <c r="B51" s="15">
        <v>10003</v>
      </c>
      <c r="C51" s="15">
        <v>0</v>
      </c>
      <c r="D51" s="15">
        <v>10207</v>
      </c>
      <c r="E51" s="15">
        <v>10207</v>
      </c>
      <c r="F51" s="15">
        <v>10567</v>
      </c>
      <c r="G51" s="16">
        <v>0.35917743031951055</v>
      </c>
    </row>
    <row r="52" spans="1:7" x14ac:dyDescent="0.2">
      <c r="A52" s="9" t="s">
        <v>140</v>
      </c>
      <c r="B52" s="15">
        <v>58952</v>
      </c>
      <c r="C52" s="15">
        <v>0</v>
      </c>
      <c r="D52" s="15">
        <v>60151</v>
      </c>
      <c r="E52" s="15">
        <v>60151</v>
      </c>
      <c r="F52" s="15">
        <v>62275</v>
      </c>
      <c r="G52" s="16">
        <v>2.1167573079537729</v>
      </c>
    </row>
    <row r="53" spans="1:7" x14ac:dyDescent="0.2">
      <c r="A53" s="9" t="s">
        <v>141</v>
      </c>
      <c r="B53" s="15">
        <v>56641</v>
      </c>
      <c r="C53" s="15">
        <v>0</v>
      </c>
      <c r="D53" s="15">
        <v>57793</v>
      </c>
      <c r="E53" s="15">
        <v>57793</v>
      </c>
      <c r="F53" s="15">
        <v>59833</v>
      </c>
      <c r="G53" s="16">
        <v>2.0337525492861999</v>
      </c>
    </row>
    <row r="54" spans="1:7" x14ac:dyDescent="0.2">
      <c r="A54" s="9" t="s">
        <v>142</v>
      </c>
      <c r="B54" s="15">
        <v>39633</v>
      </c>
      <c r="C54" s="15">
        <v>0</v>
      </c>
      <c r="D54" s="15">
        <v>40439</v>
      </c>
      <c r="E54" s="15">
        <v>40439</v>
      </c>
      <c r="F54" s="15">
        <v>41867</v>
      </c>
      <c r="G54" s="16">
        <v>1.4230795377294359</v>
      </c>
    </row>
    <row r="55" spans="1:7" x14ac:dyDescent="0.2">
      <c r="A55" s="9" t="s">
        <v>143</v>
      </c>
      <c r="B55" s="15">
        <v>47367</v>
      </c>
      <c r="C55" s="15">
        <v>0</v>
      </c>
      <c r="D55" s="15">
        <v>48330</v>
      </c>
      <c r="E55" s="15">
        <v>48330</v>
      </c>
      <c r="F55" s="15">
        <v>50036</v>
      </c>
      <c r="G55" s="16">
        <v>1.7007477906186268</v>
      </c>
    </row>
    <row r="56" spans="1:7" x14ac:dyDescent="0.2">
      <c r="A56" s="9" t="s">
        <v>144</v>
      </c>
      <c r="B56" s="15">
        <v>882</v>
      </c>
      <c r="C56" s="15">
        <v>0</v>
      </c>
      <c r="D56" s="15">
        <v>900</v>
      </c>
      <c r="E56" s="15">
        <v>900</v>
      </c>
      <c r="F56" s="15">
        <v>932</v>
      </c>
      <c r="G56" s="16">
        <v>3.167912984364378E-2</v>
      </c>
    </row>
    <row r="57" spans="1:7" x14ac:dyDescent="0.2">
      <c r="A57" s="9" t="s">
        <v>145</v>
      </c>
      <c r="B57" s="15">
        <v>0</v>
      </c>
      <c r="C57" s="15">
        <v>0</v>
      </c>
      <c r="D57" s="15">
        <v>0</v>
      </c>
      <c r="E57" s="15">
        <v>0</v>
      </c>
      <c r="F57" s="15">
        <v>0</v>
      </c>
      <c r="G57" s="16">
        <v>0</v>
      </c>
    </row>
    <row r="58" spans="1:7" x14ac:dyDescent="0.2">
      <c r="A58" s="9" t="s">
        <v>146</v>
      </c>
      <c r="B58" s="15">
        <v>0</v>
      </c>
      <c r="C58" s="15">
        <v>0</v>
      </c>
      <c r="D58" s="15">
        <v>0</v>
      </c>
      <c r="E58" s="15">
        <v>0</v>
      </c>
      <c r="F58" s="15">
        <v>0</v>
      </c>
      <c r="G58" s="16">
        <v>0</v>
      </c>
    </row>
    <row r="59" spans="1:7" x14ac:dyDescent="0.2">
      <c r="A59" s="9" t="s">
        <v>147</v>
      </c>
      <c r="B59" s="15">
        <v>0</v>
      </c>
      <c r="C59" s="15">
        <v>0</v>
      </c>
      <c r="D59" s="15">
        <v>0</v>
      </c>
      <c r="E59" s="15">
        <v>0</v>
      </c>
      <c r="F59" s="15">
        <v>0</v>
      </c>
      <c r="G59" s="16">
        <v>0</v>
      </c>
    </row>
    <row r="60" spans="1:7" x14ac:dyDescent="0.2">
      <c r="A60" s="9" t="s">
        <v>148</v>
      </c>
      <c r="B60" s="15">
        <v>934</v>
      </c>
      <c r="C60" s="15">
        <v>0</v>
      </c>
      <c r="D60" s="15">
        <v>953</v>
      </c>
      <c r="E60" s="15">
        <v>953</v>
      </c>
      <c r="F60" s="15">
        <v>986</v>
      </c>
      <c r="G60" s="16">
        <v>3.351461590754589E-2</v>
      </c>
    </row>
    <row r="61" spans="1:7" x14ac:dyDescent="0.2">
      <c r="A61" s="9" t="s">
        <v>178</v>
      </c>
      <c r="B61" s="15">
        <v>0</v>
      </c>
      <c r="C61" s="15">
        <v>0</v>
      </c>
      <c r="D61" s="15">
        <v>0</v>
      </c>
      <c r="E61" s="15">
        <v>0</v>
      </c>
      <c r="F61" s="15">
        <v>0</v>
      </c>
      <c r="G61" s="16">
        <v>0</v>
      </c>
    </row>
    <row r="62" spans="1:7" x14ac:dyDescent="0.2">
      <c r="A62" s="9" t="s">
        <v>150</v>
      </c>
      <c r="B62" s="15">
        <v>0</v>
      </c>
      <c r="C62" s="15">
        <v>0</v>
      </c>
      <c r="D62" s="15">
        <v>0</v>
      </c>
      <c r="E62" s="15">
        <v>0</v>
      </c>
      <c r="F62" s="15">
        <v>0</v>
      </c>
      <c r="G62" s="16">
        <v>0</v>
      </c>
    </row>
    <row r="63" spans="1:7" x14ac:dyDescent="0.2">
      <c r="A63" s="9" t="s">
        <v>151</v>
      </c>
      <c r="B63" s="15">
        <v>90</v>
      </c>
      <c r="C63" s="15">
        <v>0</v>
      </c>
      <c r="D63" s="15">
        <v>160</v>
      </c>
      <c r="E63" s="15">
        <v>160</v>
      </c>
      <c r="F63" s="15">
        <v>160</v>
      </c>
      <c r="G63" s="16">
        <v>5.4384772263766142E-3</v>
      </c>
    </row>
    <row r="64" spans="1:7" x14ac:dyDescent="0.2">
      <c r="A64" s="9" t="s">
        <v>152</v>
      </c>
      <c r="B64" s="15">
        <v>0</v>
      </c>
      <c r="C64" s="15">
        <v>0</v>
      </c>
      <c r="D64" s="15">
        <v>0</v>
      </c>
      <c r="E64" s="15">
        <v>0</v>
      </c>
      <c r="F64" s="15">
        <v>0</v>
      </c>
      <c r="G64" s="16">
        <v>0</v>
      </c>
    </row>
    <row r="65" spans="1:7" ht="15" customHeight="1" x14ac:dyDescent="0.2">
      <c r="A65" s="17" t="s">
        <v>93</v>
      </c>
      <c r="B65" s="18">
        <f>11915+22878+151270+25390+539646+15349+43286+2270+10055+140628+46703+15323+8155+80239+66722+40727+17605+58966+19737+19110+20342+31447+107660+33666+13703+29616+8849+18797+37297+3183+75540+22540+116589+71629+7495+163758+69700+39047+119888+7714+21395+4962+57129+141678+10879+10003+58952+56641+39633+47367+882+0+0+0+934+0+0+90+0+0</f>
        <v>2784979</v>
      </c>
      <c r="C65" s="18">
        <f>0+0+0+0+0+0+0+0+0+0+0+0+0+0+0+0+0+0+0+0+0+0+0+0+0+0+0+0+0+0+0+0+0+0+0+0+0+0+0+0+0+0+0+0+0+0+0+0+0+0+0+0+0+0+0+0+0+0+0+0</f>
        <v>0</v>
      </c>
      <c r="D65" s="18">
        <f>12157+23343+154347+25906+550622+15661+44166+2316+10259+143488+47653+15635+8320+81871+68079+41555+17964+60165+20139+19499+20756+32086+109849+34350+13982+30219+9029+19180+38055+3248+77076+22998+118960+73086+7647+167088+71118+39841+122326+7871+21830+5063+58291+144560+11100+10207+60151+57793+40439+48330+900+0+0+0+953+0+0+160+0+0</f>
        <v>2841687</v>
      </c>
      <c r="E65" s="18">
        <f>SUM(C65:D65)</f>
        <v>2841687</v>
      </c>
      <c r="F65" s="18" t="s">
        <v>379</v>
      </c>
      <c r="G65" s="19" t="s">
        <v>215</v>
      </c>
    </row>
    <row r="66" spans="1:7" ht="15" customHeight="1" x14ac:dyDescent="0.2">
      <c r="A66" s="73" t="s">
        <v>380</v>
      </c>
      <c r="B66" s="73"/>
      <c r="C66" s="73"/>
      <c r="D66" s="73"/>
      <c r="E66" s="73"/>
      <c r="F66" s="73"/>
      <c r="G66" s="73"/>
    </row>
    <row r="67" spans="1:7" ht="15" customHeight="1" x14ac:dyDescent="0.2">
      <c r="A67" s="66" t="s">
        <v>216</v>
      </c>
      <c r="B67" s="66"/>
      <c r="C67" s="66"/>
      <c r="D67" s="66"/>
      <c r="E67" s="66"/>
      <c r="F67" s="66"/>
      <c r="G67" s="66"/>
    </row>
  </sheetData>
  <mergeCells count="6">
    <mergeCell ref="A67:G67"/>
    <mergeCell ref="A4:A5"/>
    <mergeCell ref="B4:B5"/>
    <mergeCell ref="F4:F5"/>
    <mergeCell ref="G4:G5"/>
    <mergeCell ref="A66:G66"/>
  </mergeCells>
  <pageMargins left="0.7" right="0.7" top="0.75" bottom="0.75" header="0.3" footer="0.3"/>
  <pageSetup scale="7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175</v>
      </c>
      <c r="B1" s="8"/>
      <c r="C1" s="8"/>
      <c r="D1" s="8"/>
      <c r="E1" s="8"/>
      <c r="F1" s="8"/>
      <c r="G1" s="10" t="s">
        <v>200</v>
      </c>
    </row>
    <row r="2" spans="1:7" x14ac:dyDescent="0.2">
      <c r="A2" s="11" t="s">
        <v>201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23764</v>
      </c>
      <c r="C6" s="15">
        <v>0</v>
      </c>
      <c r="D6" s="15">
        <v>23732</v>
      </c>
      <c r="E6" s="15">
        <v>23732</v>
      </c>
      <c r="F6" s="15">
        <v>0</v>
      </c>
      <c r="G6" s="16">
        <f>IF(AND(F65&lt;&gt;0,0&lt;&gt;0),IF(100*0/(F65-0)&lt;0.005,"*",100*0/(F65-0)),0)</f>
        <v>0</v>
      </c>
    </row>
    <row r="7" spans="1:7" x14ac:dyDescent="0.2">
      <c r="A7" s="9" t="s">
        <v>95</v>
      </c>
      <c r="B7" s="15">
        <v>3625</v>
      </c>
      <c r="C7" s="15">
        <v>0</v>
      </c>
      <c r="D7" s="15">
        <v>3602</v>
      </c>
      <c r="E7" s="15">
        <v>3602</v>
      </c>
      <c r="F7" s="15">
        <v>0</v>
      </c>
      <c r="G7" s="16">
        <f>IF(AND(F65&lt;&gt;0,0&lt;&gt;0),IF(100*0/(F65-0)&lt;0.005,"*",100*0/(F65-0)),0)</f>
        <v>0</v>
      </c>
    </row>
    <row r="8" spans="1:7" x14ac:dyDescent="0.2">
      <c r="A8" s="9" t="s">
        <v>96</v>
      </c>
      <c r="B8" s="15">
        <v>33868</v>
      </c>
      <c r="C8" s="15">
        <v>0</v>
      </c>
      <c r="D8" s="15">
        <v>34157</v>
      </c>
      <c r="E8" s="15">
        <v>34157</v>
      </c>
      <c r="F8" s="15">
        <v>0</v>
      </c>
      <c r="G8" s="16">
        <f>IF(AND(F65&lt;&gt;0,0&lt;&gt;0),IF(100*0/(F65-0)&lt;0.005,"*",100*0/(F65-0)),0)</f>
        <v>0</v>
      </c>
    </row>
    <row r="9" spans="1:7" x14ac:dyDescent="0.2">
      <c r="A9" s="9" t="s">
        <v>97</v>
      </c>
      <c r="B9" s="15">
        <v>14602</v>
      </c>
      <c r="C9" s="15">
        <v>0</v>
      </c>
      <c r="D9" s="15">
        <v>14626</v>
      </c>
      <c r="E9" s="15">
        <v>14626</v>
      </c>
      <c r="F9" s="15">
        <v>0</v>
      </c>
      <c r="G9" s="16">
        <f>IF(AND(F65&lt;&gt;0,0&lt;&gt;0),IF(100*0/(F65-0)&lt;0.005,"*",100*0/(F65-0)),0)</f>
        <v>0</v>
      </c>
    </row>
    <row r="10" spans="1:7" x14ac:dyDescent="0.2">
      <c r="A10" s="9" t="s">
        <v>98</v>
      </c>
      <c r="B10" s="15">
        <v>191791</v>
      </c>
      <c r="C10" s="15">
        <v>0</v>
      </c>
      <c r="D10" s="15">
        <v>192475</v>
      </c>
      <c r="E10" s="15">
        <v>192475</v>
      </c>
      <c r="F10" s="15">
        <v>0</v>
      </c>
      <c r="G10" s="16">
        <f>IF(AND(F65&lt;&gt;0,0&lt;&gt;0),IF(100*0/(F65-0)&lt;0.005,"*",100*0/(F65-0)),0)</f>
        <v>0</v>
      </c>
    </row>
    <row r="11" spans="1:7" x14ac:dyDescent="0.2">
      <c r="A11" s="9" t="s">
        <v>99</v>
      </c>
      <c r="B11" s="15">
        <v>27073</v>
      </c>
      <c r="C11" s="15">
        <v>0</v>
      </c>
      <c r="D11" s="15">
        <v>27297</v>
      </c>
      <c r="E11" s="15">
        <v>27297</v>
      </c>
      <c r="F11" s="15">
        <v>0</v>
      </c>
      <c r="G11" s="16">
        <f>IF(AND(F65&lt;&gt;0,0&lt;&gt;0),IF(100*0/(F65-0)&lt;0.005,"*",100*0/(F65-0)),0)</f>
        <v>0</v>
      </c>
    </row>
    <row r="12" spans="1:7" x14ac:dyDescent="0.2">
      <c r="A12" s="9" t="s">
        <v>100</v>
      </c>
      <c r="B12" s="15">
        <v>17476</v>
      </c>
      <c r="C12" s="15">
        <v>0</v>
      </c>
      <c r="D12" s="15">
        <v>17468</v>
      </c>
      <c r="E12" s="15">
        <v>17468</v>
      </c>
      <c r="F12" s="15">
        <v>0</v>
      </c>
      <c r="G12" s="16">
        <f>IF(AND(F65&lt;&gt;0,0&lt;&gt;0),IF(100*0/(F65-0)&lt;0.005,"*",100*0/(F65-0)),0)</f>
        <v>0</v>
      </c>
    </row>
    <row r="13" spans="1:7" x14ac:dyDescent="0.2">
      <c r="A13" s="9" t="s">
        <v>101</v>
      </c>
      <c r="B13" s="15">
        <v>4652</v>
      </c>
      <c r="C13" s="15">
        <v>0</v>
      </c>
      <c r="D13" s="15">
        <v>4683</v>
      </c>
      <c r="E13" s="15">
        <v>4683</v>
      </c>
      <c r="F13" s="15">
        <v>0</v>
      </c>
      <c r="G13" s="16">
        <f>IF(AND(F65&lt;&gt;0,0&lt;&gt;0),IF(100*0/(F65-0)&lt;0.005,"*",100*0/(F65-0)),0)</f>
        <v>0</v>
      </c>
    </row>
    <row r="14" spans="1:7" x14ac:dyDescent="0.2">
      <c r="A14" s="9" t="s">
        <v>102</v>
      </c>
      <c r="B14" s="15">
        <v>3328</v>
      </c>
      <c r="C14" s="15">
        <v>0</v>
      </c>
      <c r="D14" s="15">
        <v>3378</v>
      </c>
      <c r="E14" s="15">
        <v>3378</v>
      </c>
      <c r="F14" s="15">
        <v>0</v>
      </c>
      <c r="G14" s="16">
        <f>IF(AND(F65&lt;&gt;0,0&lt;&gt;0),IF(100*0/(F65-0)&lt;0.005,"*",100*0/(F65-0)),0)</f>
        <v>0</v>
      </c>
    </row>
    <row r="15" spans="1:7" x14ac:dyDescent="0.2">
      <c r="A15" s="9" t="s">
        <v>103</v>
      </c>
      <c r="B15" s="15">
        <v>100721</v>
      </c>
      <c r="C15" s="15">
        <v>0</v>
      </c>
      <c r="D15" s="15">
        <v>102158</v>
      </c>
      <c r="E15" s="15">
        <v>102158</v>
      </c>
      <c r="F15" s="15">
        <v>0</v>
      </c>
      <c r="G15" s="16">
        <f>IF(AND(F65&lt;&gt;0,0&lt;&gt;0),IF(100*0/(F65-0)&lt;0.005,"*",100*0/(F65-0)),0)</f>
        <v>0</v>
      </c>
    </row>
    <row r="16" spans="1:7" x14ac:dyDescent="0.2">
      <c r="A16" s="9" t="s">
        <v>104</v>
      </c>
      <c r="B16" s="15">
        <v>50381</v>
      </c>
      <c r="C16" s="15">
        <v>0</v>
      </c>
      <c r="D16" s="15">
        <v>50773</v>
      </c>
      <c r="E16" s="15">
        <v>50773</v>
      </c>
      <c r="F16" s="15">
        <v>0</v>
      </c>
      <c r="G16" s="16">
        <f>IF(AND(F65&lt;&gt;0,0&lt;&gt;0),IF(100*0/(F65-0)&lt;0.005,"*",100*0/(F65-0)),0)</f>
        <v>0</v>
      </c>
    </row>
    <row r="17" spans="1:7" x14ac:dyDescent="0.2">
      <c r="A17" s="9" t="s">
        <v>105</v>
      </c>
      <c r="B17" s="15">
        <v>6980</v>
      </c>
      <c r="C17" s="15">
        <v>0</v>
      </c>
      <c r="D17" s="15">
        <v>6950</v>
      </c>
      <c r="E17" s="15">
        <v>6950</v>
      </c>
      <c r="F17" s="15">
        <v>0</v>
      </c>
      <c r="G17" s="16">
        <f>IF(AND(F65&lt;&gt;0,0&lt;&gt;0),IF(100*0/(F65-0)&lt;0.005,"*",100*0/(F65-0)),0)</f>
        <v>0</v>
      </c>
    </row>
    <row r="18" spans="1:7" x14ac:dyDescent="0.2">
      <c r="A18" s="9" t="s">
        <v>106</v>
      </c>
      <c r="B18" s="15">
        <v>8224</v>
      </c>
      <c r="C18" s="15">
        <v>0</v>
      </c>
      <c r="D18" s="15">
        <v>8359</v>
      </c>
      <c r="E18" s="15">
        <v>8359</v>
      </c>
      <c r="F18" s="15">
        <v>0</v>
      </c>
      <c r="G18" s="16">
        <f>IF(AND(F65&lt;&gt;0,0&lt;&gt;0),IF(100*0/(F65-0)&lt;0.005,"*",100*0/(F65-0)),0)</f>
        <v>0</v>
      </c>
    </row>
    <row r="19" spans="1:7" x14ac:dyDescent="0.2">
      <c r="A19" s="9" t="s">
        <v>107</v>
      </c>
      <c r="B19" s="15">
        <v>62553</v>
      </c>
      <c r="C19" s="15">
        <v>0</v>
      </c>
      <c r="D19" s="15">
        <v>62324</v>
      </c>
      <c r="E19" s="15">
        <v>62324</v>
      </c>
      <c r="F19" s="15">
        <v>0</v>
      </c>
      <c r="G19" s="16">
        <f>IF(AND(F65&lt;&gt;0,0&lt;&gt;0),IF(100*0/(F65-0)&lt;0.005,"*",100*0/(F65-0)),0)</f>
        <v>0</v>
      </c>
    </row>
    <row r="20" spans="1:7" x14ac:dyDescent="0.2">
      <c r="A20" s="9" t="s">
        <v>108</v>
      </c>
      <c r="B20" s="15">
        <v>32412</v>
      </c>
      <c r="C20" s="15">
        <v>0</v>
      </c>
      <c r="D20" s="15">
        <v>32456</v>
      </c>
      <c r="E20" s="15">
        <v>32456</v>
      </c>
      <c r="F20" s="15">
        <v>0</v>
      </c>
      <c r="G20" s="16">
        <f>IF(AND(F65&lt;&gt;0,0&lt;&gt;0),IF(100*0/(F65-0)&lt;0.005,"*",100*0/(F65-0)),0)</f>
        <v>0</v>
      </c>
    </row>
    <row r="21" spans="1:7" x14ac:dyDescent="0.2">
      <c r="A21" s="9" t="s">
        <v>109</v>
      </c>
      <c r="B21" s="15">
        <v>15317</v>
      </c>
      <c r="C21" s="15">
        <v>0</v>
      </c>
      <c r="D21" s="15">
        <v>15314</v>
      </c>
      <c r="E21" s="15">
        <v>15314</v>
      </c>
      <c r="F21" s="15">
        <v>0</v>
      </c>
      <c r="G21" s="16">
        <f>IF(AND(F65&lt;&gt;0,0&lt;&gt;0),IF(100*0/(F65-0)&lt;0.005,"*",100*0/(F65-0)),0)</f>
        <v>0</v>
      </c>
    </row>
    <row r="22" spans="1:7" x14ac:dyDescent="0.2">
      <c r="A22" s="9" t="s">
        <v>110</v>
      </c>
      <c r="B22" s="15">
        <v>14206</v>
      </c>
      <c r="C22" s="15">
        <v>0</v>
      </c>
      <c r="D22" s="15">
        <v>14182</v>
      </c>
      <c r="E22" s="15">
        <v>14182</v>
      </c>
      <c r="F22" s="15">
        <v>0</v>
      </c>
      <c r="G22" s="16">
        <f>IF(AND(F65&lt;&gt;0,0&lt;&gt;0),IF(100*0/(F65-0)&lt;0.005,"*",100*0/(F65-0)),0)</f>
        <v>0</v>
      </c>
    </row>
    <row r="23" spans="1:7" x14ac:dyDescent="0.2">
      <c r="A23" s="9" t="s">
        <v>111</v>
      </c>
      <c r="B23" s="15">
        <v>21682</v>
      </c>
      <c r="C23" s="15">
        <v>0</v>
      </c>
      <c r="D23" s="15">
        <v>21684</v>
      </c>
      <c r="E23" s="15">
        <v>21684</v>
      </c>
      <c r="F23" s="15">
        <v>0</v>
      </c>
      <c r="G23" s="16">
        <f>IF(AND(F65&lt;&gt;0,0&lt;&gt;0),IF(100*0/(F65-0)&lt;0.005,"*",100*0/(F65-0)),0)</f>
        <v>0</v>
      </c>
    </row>
    <row r="24" spans="1:7" x14ac:dyDescent="0.2">
      <c r="A24" s="9" t="s">
        <v>112</v>
      </c>
      <c r="B24" s="15">
        <v>22876</v>
      </c>
      <c r="C24" s="15">
        <v>0</v>
      </c>
      <c r="D24" s="15">
        <v>22805</v>
      </c>
      <c r="E24" s="15">
        <v>22805</v>
      </c>
      <c r="F24" s="15">
        <v>0</v>
      </c>
      <c r="G24" s="16">
        <f>IF(AND(F65&lt;&gt;0,0&lt;&gt;0),IF(100*0/(F65-0)&lt;0.005,"*",100*0/(F65-0)),0)</f>
        <v>0</v>
      </c>
    </row>
    <row r="25" spans="1:7" x14ac:dyDescent="0.2">
      <c r="A25" s="9" t="s">
        <v>113</v>
      </c>
      <c r="B25" s="15">
        <v>6506</v>
      </c>
      <c r="C25" s="15">
        <v>0</v>
      </c>
      <c r="D25" s="15">
        <v>6504</v>
      </c>
      <c r="E25" s="15">
        <v>6504</v>
      </c>
      <c r="F25" s="15">
        <v>0</v>
      </c>
      <c r="G25" s="16">
        <f>IF(AND(F65&lt;&gt;0,0&lt;&gt;0),IF(100*0/(F65-0)&lt;0.005,"*",100*0/(F65-0)),0)</f>
        <v>0</v>
      </c>
    </row>
    <row r="26" spans="1:7" x14ac:dyDescent="0.2">
      <c r="A26" s="9" t="s">
        <v>114</v>
      </c>
      <c r="B26" s="15">
        <v>29399</v>
      </c>
      <c r="C26" s="15">
        <v>0</v>
      </c>
      <c r="D26" s="15">
        <v>29464</v>
      </c>
      <c r="E26" s="15">
        <v>29464</v>
      </c>
      <c r="F26" s="15">
        <v>0</v>
      </c>
      <c r="G26" s="16">
        <f>IF(AND(F65&lt;&gt;0,0&lt;&gt;0),IF(100*0/(F65-0)&lt;0.005,"*",100*0/(F65-0)),0)</f>
        <v>0</v>
      </c>
    </row>
    <row r="27" spans="1:7" x14ac:dyDescent="0.2">
      <c r="A27" s="9" t="s">
        <v>115</v>
      </c>
      <c r="B27" s="15">
        <v>33285</v>
      </c>
      <c r="C27" s="15">
        <v>0</v>
      </c>
      <c r="D27" s="15">
        <v>33395</v>
      </c>
      <c r="E27" s="15">
        <v>33395</v>
      </c>
      <c r="F27" s="15">
        <v>0</v>
      </c>
      <c r="G27" s="16">
        <f>IF(AND(F65&lt;&gt;0,0&lt;&gt;0),IF(100*0/(F65-0)&lt;0.005,"*",100*0/(F65-0)),0)</f>
        <v>0</v>
      </c>
    </row>
    <row r="28" spans="1:7" x14ac:dyDescent="0.2">
      <c r="A28" s="9" t="s">
        <v>116</v>
      </c>
      <c r="B28" s="15">
        <v>48514</v>
      </c>
      <c r="C28" s="15">
        <v>0</v>
      </c>
      <c r="D28" s="15">
        <v>48499</v>
      </c>
      <c r="E28" s="15">
        <v>48499</v>
      </c>
      <c r="F28" s="15">
        <v>0</v>
      </c>
      <c r="G28" s="16">
        <f>IF(AND(F65&lt;&gt;0,0&lt;&gt;0),IF(100*0/(F65-0)&lt;0.005,"*",100*0/(F65-0)),0)</f>
        <v>0</v>
      </c>
    </row>
    <row r="29" spans="1:7" x14ac:dyDescent="0.2">
      <c r="A29" s="9" t="s">
        <v>117</v>
      </c>
      <c r="B29" s="15">
        <v>26973</v>
      </c>
      <c r="C29" s="15">
        <v>0</v>
      </c>
      <c r="D29" s="15">
        <v>27148</v>
      </c>
      <c r="E29" s="15">
        <v>27148</v>
      </c>
      <c r="F29" s="15">
        <v>0</v>
      </c>
      <c r="G29" s="16">
        <f>IF(AND(F65&lt;&gt;0,0&lt;&gt;0),IF(100*0/(F65-0)&lt;0.005,"*",100*0/(F65-0)),0)</f>
        <v>0</v>
      </c>
    </row>
    <row r="30" spans="1:7" x14ac:dyDescent="0.2">
      <c r="A30" s="9" t="s">
        <v>118</v>
      </c>
      <c r="B30" s="15">
        <v>14604</v>
      </c>
      <c r="C30" s="15">
        <v>0</v>
      </c>
      <c r="D30" s="15">
        <v>14527</v>
      </c>
      <c r="E30" s="15">
        <v>14527</v>
      </c>
      <c r="F30" s="15">
        <v>0</v>
      </c>
      <c r="G30" s="16">
        <f>IF(AND(F65&lt;&gt;0,0&lt;&gt;0),IF(100*0/(F65-0)&lt;0.005,"*",100*0/(F65-0)),0)</f>
        <v>0</v>
      </c>
    </row>
    <row r="31" spans="1:7" x14ac:dyDescent="0.2">
      <c r="A31" s="9" t="s">
        <v>119</v>
      </c>
      <c r="B31" s="15">
        <v>29773</v>
      </c>
      <c r="C31" s="15">
        <v>0</v>
      </c>
      <c r="D31" s="15">
        <v>29762</v>
      </c>
      <c r="E31" s="15">
        <v>29762</v>
      </c>
      <c r="F31" s="15">
        <v>0</v>
      </c>
      <c r="G31" s="16">
        <f>IF(AND(F65&lt;&gt;0,0&lt;&gt;0),IF(100*0/(F65-0)&lt;0.005,"*",100*0/(F65-0)),0)</f>
        <v>0</v>
      </c>
    </row>
    <row r="32" spans="1:7" x14ac:dyDescent="0.2">
      <c r="A32" s="9" t="s">
        <v>120</v>
      </c>
      <c r="B32" s="15">
        <v>5094</v>
      </c>
      <c r="C32" s="15">
        <v>0</v>
      </c>
      <c r="D32" s="15">
        <v>5114</v>
      </c>
      <c r="E32" s="15">
        <v>5114</v>
      </c>
      <c r="F32" s="15">
        <v>0</v>
      </c>
      <c r="G32" s="16">
        <f>IF(AND(F65&lt;&gt;0,0&lt;&gt;0),IF(100*0/(F65-0)&lt;0.005,"*",100*0/(F65-0)),0)</f>
        <v>0</v>
      </c>
    </row>
    <row r="33" spans="1:7" x14ac:dyDescent="0.2">
      <c r="A33" s="9" t="s">
        <v>121</v>
      </c>
      <c r="B33" s="15">
        <v>9320</v>
      </c>
      <c r="C33" s="15">
        <v>0</v>
      </c>
      <c r="D33" s="15">
        <v>9347</v>
      </c>
      <c r="E33" s="15">
        <v>9347</v>
      </c>
      <c r="F33" s="15">
        <v>0</v>
      </c>
      <c r="G33" s="16">
        <f>IF(AND(F65&lt;&gt;0,0&lt;&gt;0),IF(100*0/(F65-0)&lt;0.005,"*",100*0/(F65-0)),0)</f>
        <v>0</v>
      </c>
    </row>
    <row r="34" spans="1:7" x14ac:dyDescent="0.2">
      <c r="A34" s="9" t="s">
        <v>122</v>
      </c>
      <c r="B34" s="15">
        <v>14366</v>
      </c>
      <c r="C34" s="15">
        <v>0</v>
      </c>
      <c r="D34" s="15">
        <v>14595</v>
      </c>
      <c r="E34" s="15">
        <v>14595</v>
      </c>
      <c r="F34" s="15">
        <v>0</v>
      </c>
      <c r="G34" s="16">
        <f>IF(AND(F65&lt;&gt;0,0&lt;&gt;0),IF(100*0/(F65-0)&lt;0.005,"*",100*0/(F65-0)),0)</f>
        <v>0</v>
      </c>
    </row>
    <row r="35" spans="1:7" x14ac:dyDescent="0.2">
      <c r="A35" s="9" t="s">
        <v>123</v>
      </c>
      <c r="B35" s="15">
        <v>6522</v>
      </c>
      <c r="C35" s="15">
        <v>0</v>
      </c>
      <c r="D35" s="15">
        <v>6537</v>
      </c>
      <c r="E35" s="15">
        <v>6537</v>
      </c>
      <c r="F35" s="15">
        <v>0</v>
      </c>
      <c r="G35" s="16">
        <f>IF(AND(F65&lt;&gt;0,0&lt;&gt;0),IF(100*0/(F65-0)&lt;0.005,"*",100*0/(F65-0)),0)</f>
        <v>0</v>
      </c>
    </row>
    <row r="36" spans="1:7" x14ac:dyDescent="0.2">
      <c r="A36" s="9" t="s">
        <v>124</v>
      </c>
      <c r="B36" s="15">
        <v>43706</v>
      </c>
      <c r="C36" s="15">
        <v>0</v>
      </c>
      <c r="D36" s="15">
        <v>43842</v>
      </c>
      <c r="E36" s="15">
        <v>43842</v>
      </c>
      <c r="F36" s="15">
        <v>0</v>
      </c>
      <c r="G36" s="16">
        <f>IF(AND(F65&lt;&gt;0,0&lt;&gt;0),IF(100*0/(F65-0)&lt;0.005,"*",100*0/(F65-0)),0)</f>
        <v>0</v>
      </c>
    </row>
    <row r="37" spans="1:7" x14ac:dyDescent="0.2">
      <c r="A37" s="9" t="s">
        <v>125</v>
      </c>
      <c r="B37" s="15">
        <v>10169</v>
      </c>
      <c r="C37" s="15">
        <v>0</v>
      </c>
      <c r="D37" s="15">
        <v>10165</v>
      </c>
      <c r="E37" s="15">
        <v>10165</v>
      </c>
      <c r="F37" s="15">
        <v>0</v>
      </c>
      <c r="G37" s="16">
        <f>IF(AND(F65&lt;&gt;0,0&lt;&gt;0),IF(100*0/(F65-0)&lt;0.005,"*",100*0/(F65-0)),0)</f>
        <v>0</v>
      </c>
    </row>
    <row r="38" spans="1:7" x14ac:dyDescent="0.2">
      <c r="A38" s="9" t="s">
        <v>126</v>
      </c>
      <c r="B38" s="15">
        <v>96483</v>
      </c>
      <c r="C38" s="15">
        <v>0</v>
      </c>
      <c r="D38" s="15">
        <v>96632</v>
      </c>
      <c r="E38" s="15">
        <v>96632</v>
      </c>
      <c r="F38" s="15">
        <v>0</v>
      </c>
      <c r="G38" s="16">
        <f>IF(AND(F65&lt;&gt;0,0&lt;&gt;0),IF(100*0/(F65-0)&lt;0.005,"*",100*0/(F65-0)),0)</f>
        <v>0</v>
      </c>
    </row>
    <row r="39" spans="1:7" x14ac:dyDescent="0.2">
      <c r="A39" s="9" t="s">
        <v>127</v>
      </c>
      <c r="B39" s="15">
        <v>49581</v>
      </c>
      <c r="C39" s="15">
        <v>0</v>
      </c>
      <c r="D39" s="15">
        <v>50014</v>
      </c>
      <c r="E39" s="15">
        <v>50014</v>
      </c>
      <c r="F39" s="15">
        <v>0</v>
      </c>
      <c r="G39" s="16">
        <f>IF(AND(F65&lt;&gt;0,0&lt;&gt;0),IF(100*0/(F65-0)&lt;0.005,"*",100*0/(F65-0)),0)</f>
        <v>0</v>
      </c>
    </row>
    <row r="40" spans="1:7" x14ac:dyDescent="0.2">
      <c r="A40" s="9" t="s">
        <v>128</v>
      </c>
      <c r="B40" s="15">
        <v>3704</v>
      </c>
      <c r="C40" s="15">
        <v>0</v>
      </c>
      <c r="D40" s="15">
        <v>3677</v>
      </c>
      <c r="E40" s="15">
        <v>3677</v>
      </c>
      <c r="F40" s="15">
        <v>0</v>
      </c>
      <c r="G40" s="16">
        <f>IF(AND(F65&lt;&gt;0,0&lt;&gt;0),IF(100*0/(F65-0)&lt;0.005,"*",100*0/(F65-0)),0)</f>
        <v>0</v>
      </c>
    </row>
    <row r="41" spans="1:7" x14ac:dyDescent="0.2">
      <c r="A41" s="9" t="s">
        <v>129</v>
      </c>
      <c r="B41" s="15">
        <v>56752</v>
      </c>
      <c r="C41" s="15">
        <v>0</v>
      </c>
      <c r="D41" s="15">
        <v>56757</v>
      </c>
      <c r="E41" s="15">
        <v>56757</v>
      </c>
      <c r="F41" s="15">
        <v>0</v>
      </c>
      <c r="G41" s="16">
        <f>IF(AND(F65&lt;&gt;0,0&lt;&gt;0),IF(100*0/(F65-0)&lt;0.005,"*",100*0/(F65-0)),0)</f>
        <v>0</v>
      </c>
    </row>
    <row r="42" spans="1:7" x14ac:dyDescent="0.2">
      <c r="A42" s="9" t="s">
        <v>130</v>
      </c>
      <c r="B42" s="15">
        <v>19172</v>
      </c>
      <c r="C42" s="15">
        <v>0</v>
      </c>
      <c r="D42" s="15">
        <v>19137</v>
      </c>
      <c r="E42" s="15">
        <v>19137</v>
      </c>
      <c r="F42" s="15">
        <v>0</v>
      </c>
      <c r="G42" s="16">
        <f>IF(AND(F65&lt;&gt;0,0&lt;&gt;0),IF(100*0/(F65-0)&lt;0.005,"*",100*0/(F65-0)),0)</f>
        <v>0</v>
      </c>
    </row>
    <row r="43" spans="1:7" x14ac:dyDescent="0.2">
      <c r="A43" s="9" t="s">
        <v>131</v>
      </c>
      <c r="B43" s="15">
        <v>20002</v>
      </c>
      <c r="C43" s="15">
        <v>0</v>
      </c>
      <c r="D43" s="15">
        <v>20168</v>
      </c>
      <c r="E43" s="15">
        <v>20168</v>
      </c>
      <c r="F43" s="15">
        <v>0</v>
      </c>
      <c r="G43" s="16">
        <f>IF(AND(F65&lt;&gt;0,0&lt;&gt;0),IF(100*0/(F65-0)&lt;0.005,"*",100*0/(F65-0)),0)</f>
        <v>0</v>
      </c>
    </row>
    <row r="44" spans="1:7" x14ac:dyDescent="0.2">
      <c r="A44" s="9" t="s">
        <v>132</v>
      </c>
      <c r="B44" s="15">
        <v>62469</v>
      </c>
      <c r="C44" s="15">
        <v>0</v>
      </c>
      <c r="D44" s="15">
        <v>62342</v>
      </c>
      <c r="E44" s="15">
        <v>62342</v>
      </c>
      <c r="F44" s="15">
        <v>0</v>
      </c>
      <c r="G44" s="16">
        <f>IF(AND(F65&lt;&gt;0,0&lt;&gt;0),IF(100*0/(F65-0)&lt;0.005,"*",100*0/(F65-0)),0)</f>
        <v>0</v>
      </c>
    </row>
    <row r="45" spans="1:7" x14ac:dyDescent="0.2">
      <c r="A45" s="9" t="s">
        <v>133</v>
      </c>
      <c r="B45" s="15">
        <v>5162</v>
      </c>
      <c r="C45" s="15">
        <v>0</v>
      </c>
      <c r="D45" s="15">
        <v>5159</v>
      </c>
      <c r="E45" s="15">
        <v>5159</v>
      </c>
      <c r="F45" s="15">
        <v>0</v>
      </c>
      <c r="G45" s="16">
        <f>IF(AND(F65&lt;&gt;0,0&lt;&gt;0),IF(100*0/(F65-0)&lt;0.005,"*",100*0/(F65-0)),0)</f>
        <v>0</v>
      </c>
    </row>
    <row r="46" spans="1:7" x14ac:dyDescent="0.2">
      <c r="A46" s="9" t="s">
        <v>134</v>
      </c>
      <c r="B46" s="15">
        <v>24242</v>
      </c>
      <c r="C46" s="15">
        <v>0</v>
      </c>
      <c r="D46" s="15">
        <v>24460</v>
      </c>
      <c r="E46" s="15">
        <v>24460</v>
      </c>
      <c r="F46" s="15">
        <v>0</v>
      </c>
      <c r="G46" s="16">
        <f>IF(AND(F65&lt;&gt;0,0&lt;&gt;0),IF(100*0/(F65-0)&lt;0.005,"*",100*0/(F65-0)),0)</f>
        <v>0</v>
      </c>
    </row>
    <row r="47" spans="1:7" x14ac:dyDescent="0.2">
      <c r="A47" s="9" t="s">
        <v>135</v>
      </c>
      <c r="B47" s="15">
        <v>4230</v>
      </c>
      <c r="C47" s="15">
        <v>0</v>
      </c>
      <c r="D47" s="15">
        <v>4234</v>
      </c>
      <c r="E47" s="15">
        <v>4234</v>
      </c>
      <c r="F47" s="15">
        <v>0</v>
      </c>
      <c r="G47" s="16">
        <f>IF(AND(F65&lt;&gt;0,0&lt;&gt;0),IF(100*0/(F65-0)&lt;0.005,"*",100*0/(F65-0)),0)</f>
        <v>0</v>
      </c>
    </row>
    <row r="48" spans="1:7" x14ac:dyDescent="0.2">
      <c r="A48" s="9" t="s">
        <v>136</v>
      </c>
      <c r="B48" s="15">
        <v>32500</v>
      </c>
      <c r="C48" s="15">
        <v>0</v>
      </c>
      <c r="D48" s="15">
        <v>32695</v>
      </c>
      <c r="E48" s="15">
        <v>32695</v>
      </c>
      <c r="F48" s="15">
        <v>0</v>
      </c>
      <c r="G48" s="16">
        <f>IF(AND(F65&lt;&gt;0,0&lt;&gt;0),IF(100*0/(F65-0)&lt;0.005,"*",100*0/(F65-0)),0)</f>
        <v>0</v>
      </c>
    </row>
    <row r="49" spans="1:7" x14ac:dyDescent="0.2">
      <c r="A49" s="9" t="s">
        <v>137</v>
      </c>
      <c r="B49" s="15">
        <v>136148</v>
      </c>
      <c r="C49" s="15">
        <v>0</v>
      </c>
      <c r="D49" s="15">
        <v>137795</v>
      </c>
      <c r="E49" s="15">
        <v>137795</v>
      </c>
      <c r="F49" s="15">
        <v>0</v>
      </c>
      <c r="G49" s="16">
        <f>IF(AND(F65&lt;&gt;0,0&lt;&gt;0),IF(100*0/(F65-0)&lt;0.005,"*",100*0/(F65-0)),0)</f>
        <v>0</v>
      </c>
    </row>
    <row r="50" spans="1:7" x14ac:dyDescent="0.2">
      <c r="A50" s="9" t="s">
        <v>138</v>
      </c>
      <c r="B50" s="15">
        <v>14909</v>
      </c>
      <c r="C50" s="15">
        <v>0</v>
      </c>
      <c r="D50" s="15">
        <v>15101</v>
      </c>
      <c r="E50" s="15">
        <v>15101</v>
      </c>
      <c r="F50" s="15">
        <v>0</v>
      </c>
      <c r="G50" s="16">
        <f>IF(AND(F65&lt;&gt;0,0&lt;&gt;0),IF(100*0/(F65-0)&lt;0.005,"*",100*0/(F65-0)),0)</f>
        <v>0</v>
      </c>
    </row>
    <row r="51" spans="1:7" x14ac:dyDescent="0.2">
      <c r="A51" s="9" t="s">
        <v>139</v>
      </c>
      <c r="B51" s="15">
        <v>3052</v>
      </c>
      <c r="C51" s="15">
        <v>0</v>
      </c>
      <c r="D51" s="15">
        <v>3036</v>
      </c>
      <c r="E51" s="15">
        <v>3036</v>
      </c>
      <c r="F51" s="15">
        <v>0</v>
      </c>
      <c r="G51" s="16">
        <f>IF(AND(F65&lt;&gt;0,0&lt;&gt;0),IF(100*0/(F65-0)&lt;0.005,"*",100*0/(F65-0)),0)</f>
        <v>0</v>
      </c>
    </row>
    <row r="52" spans="1:7" x14ac:dyDescent="0.2">
      <c r="A52" s="9" t="s">
        <v>140</v>
      </c>
      <c r="B52" s="15">
        <v>41103</v>
      </c>
      <c r="C52" s="15">
        <v>0</v>
      </c>
      <c r="D52" s="15">
        <v>41234</v>
      </c>
      <c r="E52" s="15">
        <v>41234</v>
      </c>
      <c r="F52" s="15">
        <v>0</v>
      </c>
      <c r="G52" s="16">
        <f>IF(AND(F65&lt;&gt;0,0&lt;&gt;0),IF(100*0/(F65-0)&lt;0.005,"*",100*0/(F65-0)),0)</f>
        <v>0</v>
      </c>
    </row>
    <row r="53" spans="1:7" x14ac:dyDescent="0.2">
      <c r="A53" s="9" t="s">
        <v>141</v>
      </c>
      <c r="B53" s="15">
        <v>35612</v>
      </c>
      <c r="C53" s="15">
        <v>0</v>
      </c>
      <c r="D53" s="15">
        <v>36053</v>
      </c>
      <c r="E53" s="15">
        <v>36053</v>
      </c>
      <c r="F53" s="15">
        <v>0</v>
      </c>
      <c r="G53" s="16">
        <f>IF(AND(F65&lt;&gt;0,0&lt;&gt;0),IF(100*0/(F65-0)&lt;0.005,"*",100*0/(F65-0)),0)</f>
        <v>0</v>
      </c>
    </row>
    <row r="54" spans="1:7" x14ac:dyDescent="0.2">
      <c r="A54" s="9" t="s">
        <v>142</v>
      </c>
      <c r="B54" s="15">
        <v>8947</v>
      </c>
      <c r="C54" s="15">
        <v>0</v>
      </c>
      <c r="D54" s="15">
        <v>8840</v>
      </c>
      <c r="E54" s="15">
        <v>8840</v>
      </c>
      <c r="F54" s="15">
        <v>0</v>
      </c>
      <c r="G54" s="16">
        <f>IF(AND(F65&lt;&gt;0,0&lt;&gt;0),IF(100*0/(F65-0)&lt;0.005,"*",100*0/(F65-0)),0)</f>
        <v>0</v>
      </c>
    </row>
    <row r="55" spans="1:7" x14ac:dyDescent="0.2">
      <c r="A55" s="9" t="s">
        <v>143</v>
      </c>
      <c r="B55" s="15">
        <v>28237</v>
      </c>
      <c r="C55" s="15">
        <v>0</v>
      </c>
      <c r="D55" s="15">
        <v>28214</v>
      </c>
      <c r="E55" s="15">
        <v>28214</v>
      </c>
      <c r="F55" s="15">
        <v>0</v>
      </c>
      <c r="G55" s="16">
        <f>IF(AND(F65&lt;&gt;0,0&lt;&gt;0),IF(100*0/(F65-0)&lt;0.005,"*",100*0/(F65-0)),0)</f>
        <v>0</v>
      </c>
    </row>
    <row r="56" spans="1:7" x14ac:dyDescent="0.2">
      <c r="A56" s="9" t="s">
        <v>144</v>
      </c>
      <c r="B56" s="15">
        <v>2861</v>
      </c>
      <c r="C56" s="15">
        <v>0</v>
      </c>
      <c r="D56" s="15">
        <v>2820</v>
      </c>
      <c r="E56" s="15">
        <v>2820</v>
      </c>
      <c r="F56" s="15">
        <v>0</v>
      </c>
      <c r="G56" s="16">
        <f>IF(AND(F65&lt;&gt;0,0&lt;&gt;0),IF(100*0/(F65-0)&lt;0.005,"*",100*0/(F65-0)),0)</f>
        <v>0</v>
      </c>
    </row>
    <row r="57" spans="1:7" x14ac:dyDescent="0.2">
      <c r="A57" s="9" t="s">
        <v>145</v>
      </c>
      <c r="B57" s="15">
        <v>56</v>
      </c>
      <c r="C57" s="15">
        <v>0</v>
      </c>
      <c r="D57" s="15">
        <v>57</v>
      </c>
      <c r="E57" s="15">
        <v>57</v>
      </c>
      <c r="F57" s="15">
        <v>0</v>
      </c>
      <c r="G57" s="16">
        <f>IF(AND(F65&lt;&gt;0,0&lt;&gt;0),IF(100*0/(F65-0)&lt;0.005,"*",100*0/(F65-0)),0)</f>
        <v>0</v>
      </c>
    </row>
    <row r="58" spans="1:7" x14ac:dyDescent="0.2">
      <c r="A58" s="9" t="s">
        <v>146</v>
      </c>
      <c r="B58" s="15">
        <v>274</v>
      </c>
      <c r="C58" s="15">
        <v>0</v>
      </c>
      <c r="D58" s="15">
        <v>275</v>
      </c>
      <c r="E58" s="15">
        <v>275</v>
      </c>
      <c r="F58" s="15">
        <v>0</v>
      </c>
      <c r="G58" s="16">
        <f>IF(AND(F65&lt;&gt;0,0&lt;&gt;0),IF(100*0/(F65-0)&lt;0.005,"*",100*0/(F65-0)),0)</f>
        <v>0</v>
      </c>
    </row>
    <row r="59" spans="1:7" x14ac:dyDescent="0.2">
      <c r="A59" s="9" t="s">
        <v>147</v>
      </c>
      <c r="B59" s="15">
        <v>55</v>
      </c>
      <c r="C59" s="15">
        <v>0</v>
      </c>
      <c r="D59" s="15">
        <v>55</v>
      </c>
      <c r="E59" s="15">
        <v>55</v>
      </c>
      <c r="F59" s="15">
        <v>0</v>
      </c>
      <c r="G59" s="16">
        <f>IF(AND(F65&lt;&gt;0,0&lt;&gt;0),IF(100*0/(F65-0)&lt;0.005,"*",100*0/(F65-0)),0)</f>
        <v>0</v>
      </c>
    </row>
    <row r="60" spans="1:7" x14ac:dyDescent="0.2">
      <c r="A60" s="9" t="s">
        <v>148</v>
      </c>
      <c r="B60" s="15">
        <v>8213</v>
      </c>
      <c r="C60" s="15">
        <v>0</v>
      </c>
      <c r="D60" s="15">
        <v>8248</v>
      </c>
      <c r="E60" s="15">
        <v>8248</v>
      </c>
      <c r="F60" s="15">
        <v>0</v>
      </c>
      <c r="G60" s="16">
        <f>IF(AND(F65&lt;&gt;0,0&lt;&gt;0),IF(100*0/(F65-0)&lt;0.005,"*",100*0/(F65-0)),0)</f>
        <v>0</v>
      </c>
    </row>
    <row r="61" spans="1:7" x14ac:dyDescent="0.2">
      <c r="A61" s="9" t="s">
        <v>178</v>
      </c>
      <c r="B61" s="15">
        <v>0</v>
      </c>
      <c r="C61" s="15">
        <v>0</v>
      </c>
      <c r="D61" s="15">
        <v>0</v>
      </c>
      <c r="E61" s="15">
        <v>0</v>
      </c>
      <c r="F61" s="15">
        <v>0</v>
      </c>
      <c r="G61" s="16">
        <f>IF(AND(F65&lt;&gt;0,0&lt;&gt;0),IF(100*0/(F65-0)&lt;0.005,"*",100*0/(F65-0)),0)</f>
        <v>0</v>
      </c>
    </row>
    <row r="62" spans="1:7" x14ac:dyDescent="0.2">
      <c r="A62" s="9" t="s">
        <v>150</v>
      </c>
      <c r="B62" s="15">
        <v>274</v>
      </c>
      <c r="C62" s="15">
        <v>0</v>
      </c>
      <c r="D62" s="15">
        <v>275</v>
      </c>
      <c r="E62" s="15">
        <v>275</v>
      </c>
      <c r="F62" s="15">
        <v>0</v>
      </c>
      <c r="G62" s="16">
        <f>IF(AND(F65&lt;&gt;0,0&lt;&gt;0),IF(100*0/(F65-0)&lt;0.005,"*",100*0/(F65-0)),0)</f>
        <v>0</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23764+3625+33868+14602+191791+27073+17476+4652+3328+100721+50381+6980+8224+62553+32412+15317+14206+21682+22876+6506+29399+33285+48514+26973+14604+29773+5094+9320+14366+6522+43706+10169+96483+49581+3704+56752+19172+20002+62469+5162+24242+4230+32500+136148+14909+3052+41103+35612+8947+28237+2861+56+274+55+8213+0+274+0+0+0</f>
        <v>1587800</v>
      </c>
      <c r="C65" s="18">
        <f>0+0+0+0+0+0+0+0+0+0+0+0+0+0+0+0+0+0+0+0+0+0+0+0+0+0+0+0+0+0+0+0+0+0+0+0+0+0+0+0+0+0+0+0+0+0+0+0+0+0+0+0+0+0+0+0+0+0+0+0</f>
        <v>0</v>
      </c>
      <c r="D65" s="18">
        <f>23732+3602+34157+14626+192475+27297+17468+4683+3378+102158+50773+6950+8359+62324+32456+15314+14182+21684+22805+6504+29464+33395+48499+27148+14527+29762+5114+9347+14595+6537+43842+10165+96632+50014+3677+56757+19137+20168+62342+5159+24460+4234+32695+137795+15101+3036+41234+36053+8840+28214+2820+57+275+55+8248+0+275+0+0+0</f>
        <v>1594600</v>
      </c>
      <c r="E65" s="18">
        <f>SUM(C65:D65)</f>
        <v>1594600</v>
      </c>
      <c r="F65" s="18">
        <f>0+0+0+0+0+0+0+0+0+0+0+0+0+0+0+0+0+0+0+0+0+0+0+0+0+0+0+0+0+0+0+0+0+0+0+0+0+0+0+0+0+0+0+0+0+0+0+0+0+0+0+0+0+0+0+0+0+0+0+0</f>
        <v>0</v>
      </c>
      <c r="G65" s="20" t="s">
        <v>167</v>
      </c>
    </row>
    <row r="66" spans="1:7" ht="15" customHeight="1" x14ac:dyDescent="0.2">
      <c r="A66" s="73" t="s">
        <v>381</v>
      </c>
      <c r="B66" s="73"/>
      <c r="C66" s="73"/>
      <c r="D66" s="73"/>
      <c r="E66" s="73"/>
      <c r="F66" s="73"/>
      <c r="G66" s="73"/>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202</v>
      </c>
      <c r="B1" s="8"/>
      <c r="C1" s="8"/>
      <c r="D1" s="8"/>
      <c r="E1" s="8"/>
      <c r="F1" s="8"/>
      <c r="G1" s="10" t="s">
        <v>203</v>
      </c>
    </row>
    <row r="2" spans="1:7" x14ac:dyDescent="0.2">
      <c r="A2" s="11" t="s">
        <v>204</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338511</v>
      </c>
      <c r="C6" s="15">
        <v>0</v>
      </c>
      <c r="D6" s="15">
        <v>396288</v>
      </c>
      <c r="E6" s="15">
        <v>396288</v>
      </c>
      <c r="F6" s="15">
        <v>417308</v>
      </c>
      <c r="G6" s="16">
        <f>IF(AND(F65&lt;&gt;0,417308&lt;&gt;0),IF(100*417308/(F65-0)&lt;0.005,"*",100*417308/(F65-0)),0)</f>
        <v>2.272154950918746</v>
      </c>
    </row>
    <row r="7" spans="1:7" x14ac:dyDescent="0.2">
      <c r="A7" s="9" t="s">
        <v>95</v>
      </c>
      <c r="B7" s="15">
        <v>34629</v>
      </c>
      <c r="C7" s="15">
        <v>0</v>
      </c>
      <c r="D7" s="15">
        <v>30418</v>
      </c>
      <c r="E7" s="15">
        <v>30418</v>
      </c>
      <c r="F7" s="15">
        <v>32031</v>
      </c>
      <c r="G7" s="16">
        <f>IF(AND(F65&lt;&gt;0,32031&lt;&gt;0),IF(100*32031/(F65-0)&lt;0.005,"*",100*32031/(F65-0)),0)</f>
        <v>0.17440210883299229</v>
      </c>
    </row>
    <row r="8" spans="1:7" x14ac:dyDescent="0.2">
      <c r="A8" s="9" t="s">
        <v>96</v>
      </c>
      <c r="B8" s="15">
        <v>388596</v>
      </c>
      <c r="C8" s="15">
        <v>0</v>
      </c>
      <c r="D8" s="15">
        <v>251666</v>
      </c>
      <c r="E8" s="15">
        <v>251666</v>
      </c>
      <c r="F8" s="15">
        <v>265344</v>
      </c>
      <c r="G8" s="16">
        <f>IF(AND(F65&lt;&gt;0,265344&lt;&gt;0),IF(100*265344/(F65-0)&lt;0.005,"*",100*265344/(F65-0)),0)</f>
        <v>1.4447426919603357</v>
      </c>
    </row>
    <row r="9" spans="1:7" x14ac:dyDescent="0.2">
      <c r="A9" s="9" t="s">
        <v>97</v>
      </c>
      <c r="B9" s="15">
        <v>205813</v>
      </c>
      <c r="C9" s="15">
        <v>0</v>
      </c>
      <c r="D9" s="15">
        <v>167790</v>
      </c>
      <c r="E9" s="15">
        <v>167790</v>
      </c>
      <c r="F9" s="15">
        <v>176690</v>
      </c>
      <c r="G9" s="16">
        <f>IF(AND(F65&lt;&gt;0,176690&lt;&gt;0),IF(100*176690/(F65-0)&lt;0.005,"*",100*176690/(F65-0)),0)</f>
        <v>0.96204016764076705</v>
      </c>
    </row>
    <row r="10" spans="1:7" x14ac:dyDescent="0.2">
      <c r="A10" s="9" t="s">
        <v>98</v>
      </c>
      <c r="B10" s="15">
        <v>2825935</v>
      </c>
      <c r="C10" s="15">
        <v>0</v>
      </c>
      <c r="D10" s="15">
        <v>3038425</v>
      </c>
      <c r="E10" s="15">
        <v>3038425</v>
      </c>
      <c r="F10" s="15">
        <v>3199589</v>
      </c>
      <c r="G10" s="16">
        <f>IF(AND(F65&lt;&gt;0,3199589&lt;&gt;0),IF(100*3199589/(F65-0)&lt;0.005,"*",100*3199589/(F65-0)),0)</f>
        <v>17.421094221187133</v>
      </c>
    </row>
    <row r="11" spans="1:7" x14ac:dyDescent="0.2">
      <c r="A11" s="9" t="s">
        <v>99</v>
      </c>
      <c r="B11" s="15">
        <v>270403</v>
      </c>
      <c r="C11" s="15">
        <v>0</v>
      </c>
      <c r="D11" s="15">
        <v>298414</v>
      </c>
      <c r="E11" s="15">
        <v>298414</v>
      </c>
      <c r="F11" s="15">
        <v>314242</v>
      </c>
      <c r="G11" s="16">
        <f>IF(AND(F65&lt;&gt;0,314242&lt;&gt;0),IF(100*314242/(F65-0)&lt;0.005,"*",100*314242/(F65-0)),0)</f>
        <v>1.7109820949672869</v>
      </c>
    </row>
    <row r="12" spans="1:7" x14ac:dyDescent="0.2">
      <c r="A12" s="9" t="s">
        <v>100</v>
      </c>
      <c r="B12" s="15">
        <v>81968</v>
      </c>
      <c r="C12" s="15">
        <v>0</v>
      </c>
      <c r="D12" s="15">
        <v>101405</v>
      </c>
      <c r="E12" s="15">
        <v>101405</v>
      </c>
      <c r="F12" s="15">
        <v>106783</v>
      </c>
      <c r="G12" s="16">
        <f>IF(AND(F65&lt;&gt;0,106783&lt;&gt;0),IF(100*106783/(F65-0)&lt;0.005,"*",100*106783/(F65-0)),0)</f>
        <v>0.5814111450630145</v>
      </c>
    </row>
    <row r="13" spans="1:7" x14ac:dyDescent="0.2">
      <c r="A13" s="9" t="s">
        <v>101</v>
      </c>
      <c r="B13" s="15">
        <v>37330</v>
      </c>
      <c r="C13" s="15">
        <v>0</v>
      </c>
      <c r="D13" s="15">
        <v>37871</v>
      </c>
      <c r="E13" s="15">
        <v>37871</v>
      </c>
      <c r="F13" s="15">
        <v>39880</v>
      </c>
      <c r="G13" s="16">
        <f>IF(AND(F65&lt;&gt;0,39880&lt;&gt;0),IF(100*39880/(F65-0)&lt;0.005,"*",100*39880/(F65-0)),0)</f>
        <v>0.21713827542879502</v>
      </c>
    </row>
    <row r="14" spans="1:7" x14ac:dyDescent="0.2">
      <c r="A14" s="9" t="s">
        <v>102</v>
      </c>
      <c r="B14" s="15">
        <v>45825</v>
      </c>
      <c r="C14" s="15">
        <v>0</v>
      </c>
      <c r="D14" s="15">
        <v>49217</v>
      </c>
      <c r="E14" s="15">
        <v>49217</v>
      </c>
      <c r="F14" s="15">
        <v>53111</v>
      </c>
      <c r="G14" s="16">
        <f>IF(AND(F65&lt;&gt;0,53111&lt;&gt;0),IF(100*53111/(F65-0)&lt;0.005,"*",100*53111/(F65-0)),0)</f>
        <v>0.28917830858321797</v>
      </c>
    </row>
    <row r="15" spans="1:7" x14ac:dyDescent="0.2">
      <c r="A15" s="9" t="s">
        <v>103</v>
      </c>
      <c r="B15" s="15">
        <v>734065</v>
      </c>
      <c r="C15" s="15">
        <v>0</v>
      </c>
      <c r="D15" s="15">
        <v>793192</v>
      </c>
      <c r="E15" s="15">
        <v>793192</v>
      </c>
      <c r="F15" s="15">
        <v>841093</v>
      </c>
      <c r="G15" s="16">
        <f>IF(AND(F65&lt;&gt;0,841093&lt;&gt;0),IF(100*841093/(F65-0)&lt;0.005,"*",100*841093/(F65-0)),0)</f>
        <v>4.5795758148252625</v>
      </c>
    </row>
    <row r="16" spans="1:7" x14ac:dyDescent="0.2">
      <c r="A16" s="9" t="s">
        <v>104</v>
      </c>
      <c r="B16" s="15">
        <v>429677</v>
      </c>
      <c r="C16" s="15">
        <v>0</v>
      </c>
      <c r="D16" s="15">
        <v>444313</v>
      </c>
      <c r="E16" s="15">
        <v>444313</v>
      </c>
      <c r="F16" s="15">
        <v>467880</v>
      </c>
      <c r="G16" s="16">
        <f>IF(AND(F65&lt;&gt;0,467880&lt;&gt;0),IF(100*467880/(F65-0)&lt;0.005,"*",100*467880/(F65-0)),0)</f>
        <v>2.5475089344940973</v>
      </c>
    </row>
    <row r="17" spans="1:7" x14ac:dyDescent="0.2">
      <c r="A17" s="9" t="s">
        <v>105</v>
      </c>
      <c r="B17" s="15">
        <v>55380</v>
      </c>
      <c r="C17" s="15">
        <v>0</v>
      </c>
      <c r="D17" s="15">
        <v>63149</v>
      </c>
      <c r="E17" s="15">
        <v>63149</v>
      </c>
      <c r="F17" s="15">
        <v>66499</v>
      </c>
      <c r="G17" s="16">
        <f>IF(AND(F65&lt;&gt;0,66499&lt;&gt;0),IF(100*66499/(F65-0)&lt;0.005,"*",100*66499/(F65-0)),0)</f>
        <v>0.36207317396538213</v>
      </c>
    </row>
    <row r="18" spans="1:7" x14ac:dyDescent="0.2">
      <c r="A18" s="9" t="s">
        <v>106</v>
      </c>
      <c r="B18" s="15">
        <v>88438</v>
      </c>
      <c r="C18" s="15">
        <v>0</v>
      </c>
      <c r="D18" s="15">
        <v>78353</v>
      </c>
      <c r="E18" s="15">
        <v>78353</v>
      </c>
      <c r="F18" s="15">
        <v>83426</v>
      </c>
      <c r="G18" s="16">
        <f>IF(AND(F65&lt;&gt;0,83426&lt;&gt;0),IF(100*83426/(F65-0)&lt;0.005,"*",100*83426/(F65-0)),0)</f>
        <v>0.45423715561491101</v>
      </c>
    </row>
    <row r="19" spans="1:7" x14ac:dyDescent="0.2">
      <c r="A19" s="9" t="s">
        <v>107</v>
      </c>
      <c r="B19" s="15">
        <v>579663</v>
      </c>
      <c r="C19" s="15">
        <v>0</v>
      </c>
      <c r="D19" s="15">
        <v>392710</v>
      </c>
      <c r="E19" s="15">
        <v>392710</v>
      </c>
      <c r="F19" s="15">
        <v>413540</v>
      </c>
      <c r="G19" s="16">
        <f>IF(AND(F65&lt;&gt;0,413540&lt;&gt;0),IF(100*413540/(F65-0)&lt;0.005,"*",100*413540/(F65-0)),0)</f>
        <v>2.2516389774529562</v>
      </c>
    </row>
    <row r="20" spans="1:7" x14ac:dyDescent="0.2">
      <c r="A20" s="9" t="s">
        <v>108</v>
      </c>
      <c r="B20" s="15">
        <v>202328</v>
      </c>
      <c r="C20" s="15">
        <v>0</v>
      </c>
      <c r="D20" s="15">
        <v>261535</v>
      </c>
      <c r="E20" s="15">
        <v>261535</v>
      </c>
      <c r="F20" s="15">
        <v>275407</v>
      </c>
      <c r="G20" s="16">
        <f>IF(AND(F65&lt;&gt;0,275407&lt;&gt;0),IF(100*275407/(F65-0)&lt;0.005,"*",100*275407/(F65-0)),0)</f>
        <v>1.4995336264046677</v>
      </c>
    </row>
    <row r="21" spans="1:7" x14ac:dyDescent="0.2">
      <c r="A21" s="9" t="s">
        <v>109</v>
      </c>
      <c r="B21" s="15">
        <v>163436</v>
      </c>
      <c r="C21" s="15">
        <v>0</v>
      </c>
      <c r="D21" s="15">
        <v>130026</v>
      </c>
      <c r="E21" s="15">
        <v>130026</v>
      </c>
      <c r="F21" s="15">
        <v>136960</v>
      </c>
      <c r="G21" s="16">
        <f>IF(AND(F65&lt;&gt;0,136960&lt;&gt;0),IF(100*136960/(F65-0)&lt;0.005,"*",100*136960/(F65-0)),0)</f>
        <v>0.74571861090089675</v>
      </c>
    </row>
    <row r="22" spans="1:7" x14ac:dyDescent="0.2">
      <c r="A22" s="9" t="s">
        <v>110</v>
      </c>
      <c r="B22" s="15">
        <v>132007</v>
      </c>
      <c r="C22" s="15">
        <v>0</v>
      </c>
      <c r="D22" s="15">
        <v>119145</v>
      </c>
      <c r="E22" s="15">
        <v>119145</v>
      </c>
      <c r="F22" s="15">
        <v>125465</v>
      </c>
      <c r="G22" s="16">
        <f>IF(AND(F65&lt;&gt;0,125465&lt;&gt;0),IF(100*125465/(F65-0)&lt;0.005,"*",100*125465/(F65-0)),0)</f>
        <v>0.68313073537296298</v>
      </c>
    </row>
    <row r="23" spans="1:7" x14ac:dyDescent="0.2">
      <c r="A23" s="9" t="s">
        <v>111</v>
      </c>
      <c r="B23" s="15">
        <v>284025</v>
      </c>
      <c r="C23" s="15">
        <v>0</v>
      </c>
      <c r="D23" s="15">
        <v>218000</v>
      </c>
      <c r="E23" s="15">
        <v>218000</v>
      </c>
      <c r="F23" s="15">
        <v>229563</v>
      </c>
      <c r="G23" s="16">
        <f>IF(AND(F65&lt;&gt;0,229563&lt;&gt;0),IF(100*229563/(F65-0)&lt;0.005,"*",100*229563/(F65-0)),0)</f>
        <v>1.2499226159042245</v>
      </c>
    </row>
    <row r="24" spans="1:7" x14ac:dyDescent="0.2">
      <c r="A24" s="9" t="s">
        <v>112</v>
      </c>
      <c r="B24" s="15">
        <v>379958</v>
      </c>
      <c r="C24" s="15">
        <v>0</v>
      </c>
      <c r="D24" s="15">
        <v>373254</v>
      </c>
      <c r="E24" s="15">
        <v>373254</v>
      </c>
      <c r="F24" s="15">
        <v>393052</v>
      </c>
      <c r="G24" s="16">
        <f>IF(AND(F65&lt;&gt;0,393052&lt;&gt;0),IF(100*393052/(F65-0)&lt;0.005,"*",100*393052/(F65-0)),0)</f>
        <v>2.1400860941283533</v>
      </c>
    </row>
    <row r="25" spans="1:7" x14ac:dyDescent="0.2">
      <c r="A25" s="9" t="s">
        <v>113</v>
      </c>
      <c r="B25" s="15">
        <v>37827</v>
      </c>
      <c r="C25" s="15">
        <v>0</v>
      </c>
      <c r="D25" s="15">
        <v>37049</v>
      </c>
      <c r="E25" s="15">
        <v>37049</v>
      </c>
      <c r="F25" s="15">
        <v>39014</v>
      </c>
      <c r="G25" s="16">
        <f>IF(AND(F65&lt;&gt;0,39014&lt;&gt;0),IF(100*39014/(F65-0)&lt;0.005,"*",100*39014/(F65-0)),0)</f>
        <v>0.21242308619806941</v>
      </c>
    </row>
    <row r="26" spans="1:7" x14ac:dyDescent="0.2">
      <c r="A26" s="9" t="s">
        <v>114</v>
      </c>
      <c r="B26" s="15">
        <v>313409</v>
      </c>
      <c r="C26" s="15">
        <v>0</v>
      </c>
      <c r="D26" s="15">
        <v>316638</v>
      </c>
      <c r="E26" s="15">
        <v>316638</v>
      </c>
      <c r="F26" s="15">
        <v>333433</v>
      </c>
      <c r="G26" s="16">
        <f>IF(AND(F65&lt;&gt;0,333433&lt;&gt;0),IF(100*333433/(F65-0)&lt;0.005,"*",100*333433/(F65-0)),0)</f>
        <v>1.8154730840283202</v>
      </c>
    </row>
    <row r="27" spans="1:7" x14ac:dyDescent="0.2">
      <c r="A27" s="9" t="s">
        <v>115</v>
      </c>
      <c r="B27" s="15">
        <v>710910</v>
      </c>
      <c r="C27" s="15">
        <v>0</v>
      </c>
      <c r="D27" s="15">
        <v>724570</v>
      </c>
      <c r="E27" s="15">
        <v>724570</v>
      </c>
      <c r="F27" s="15">
        <v>763002</v>
      </c>
      <c r="G27" s="16">
        <f>IF(AND(F65&lt;&gt;0,763002&lt;&gt;0),IF(100*763002/(F65-0)&lt;0.005,"*",100*763002/(F65-0)),0)</f>
        <v>4.1543866205797757</v>
      </c>
    </row>
    <row r="28" spans="1:7" x14ac:dyDescent="0.2">
      <c r="A28" s="9" t="s">
        <v>116</v>
      </c>
      <c r="B28" s="15">
        <v>280390</v>
      </c>
      <c r="C28" s="15">
        <v>0</v>
      </c>
      <c r="D28" s="15">
        <v>273742</v>
      </c>
      <c r="E28" s="15">
        <v>273742</v>
      </c>
      <c r="F28" s="15">
        <v>288261</v>
      </c>
      <c r="G28" s="16">
        <f>IF(AND(F65&lt;&gt;0,288261&lt;&gt;0),IF(100*288261/(F65-0)&lt;0.005,"*",100*288261/(F65-0)),0)</f>
        <v>1.5695209732542597</v>
      </c>
    </row>
    <row r="29" spans="1:7" x14ac:dyDescent="0.2">
      <c r="A29" s="9" t="s">
        <v>117</v>
      </c>
      <c r="B29" s="15">
        <v>122348</v>
      </c>
      <c r="C29" s="15">
        <v>0</v>
      </c>
      <c r="D29" s="15">
        <v>129392</v>
      </c>
      <c r="E29" s="15">
        <v>129392</v>
      </c>
      <c r="F29" s="15">
        <v>136842</v>
      </c>
      <c r="G29" s="16">
        <f>IF(AND(F65&lt;&gt;0,136842&lt;&gt;0),IF(100*136842/(F65-0)&lt;0.005,"*",100*136842/(F65-0)),0)</f>
        <v>0.74507612553227598</v>
      </c>
    </row>
    <row r="30" spans="1:7" x14ac:dyDescent="0.2">
      <c r="A30" s="9" t="s">
        <v>118</v>
      </c>
      <c r="B30" s="15">
        <v>335501</v>
      </c>
      <c r="C30" s="15">
        <v>0</v>
      </c>
      <c r="D30" s="15">
        <v>257202</v>
      </c>
      <c r="E30" s="15">
        <v>257202</v>
      </c>
      <c r="F30" s="15">
        <v>270845</v>
      </c>
      <c r="G30" s="16">
        <f>IF(AND(F65&lt;&gt;0,270845&lt;&gt;0),IF(100*270845/(F65-0)&lt;0.005,"*",100*270845/(F65-0)),0)</f>
        <v>1.474694488678836</v>
      </c>
    </row>
    <row r="31" spans="1:7" x14ac:dyDescent="0.2">
      <c r="A31" s="9" t="s">
        <v>119</v>
      </c>
      <c r="B31" s="15">
        <v>233717</v>
      </c>
      <c r="C31" s="15">
        <v>0</v>
      </c>
      <c r="D31" s="15">
        <v>278965</v>
      </c>
      <c r="E31" s="15">
        <v>278965</v>
      </c>
      <c r="F31" s="15">
        <v>293762</v>
      </c>
      <c r="G31" s="16">
        <f>IF(AND(F65&lt;&gt;0,293762&lt;&gt;0),IF(100*293762/(F65-0)&lt;0.005,"*",100*293762/(F65-0)),0)</f>
        <v>1.5994727699727602</v>
      </c>
    </row>
    <row r="32" spans="1:7" x14ac:dyDescent="0.2">
      <c r="A32" s="9" t="s">
        <v>120</v>
      </c>
      <c r="B32" s="15">
        <v>110278</v>
      </c>
      <c r="C32" s="15">
        <v>0</v>
      </c>
      <c r="D32" s="15">
        <v>91428</v>
      </c>
      <c r="E32" s="15">
        <v>91428</v>
      </c>
      <c r="F32" s="15">
        <v>96807</v>
      </c>
      <c r="G32" s="16">
        <f>IF(AND(F65&lt;&gt;0,96807&lt;&gt;0),IF(100*96807/(F65-0)&lt;0.005,"*",100*96807/(F65-0)),0)</f>
        <v>0.52709390745825868</v>
      </c>
    </row>
    <row r="33" spans="1:7" x14ac:dyDescent="0.2">
      <c r="A33" s="9" t="s">
        <v>121</v>
      </c>
      <c r="B33" s="15">
        <v>77075</v>
      </c>
      <c r="C33" s="15">
        <v>0</v>
      </c>
      <c r="D33" s="15">
        <v>87084</v>
      </c>
      <c r="E33" s="15">
        <v>87084</v>
      </c>
      <c r="F33" s="15">
        <v>91946</v>
      </c>
      <c r="G33" s="16">
        <f>IF(AND(F65&lt;&gt;0,91946&lt;&gt;0),IF(100*91946/(F65-0)&lt;0.005,"*",100*91946/(F65-0)),0)</f>
        <v>0.50062677714583714</v>
      </c>
    </row>
    <row r="34" spans="1:7" x14ac:dyDescent="0.2">
      <c r="A34" s="9" t="s">
        <v>122</v>
      </c>
      <c r="B34" s="15">
        <v>74884</v>
      </c>
      <c r="C34" s="15">
        <v>0</v>
      </c>
      <c r="D34" s="15">
        <v>78194</v>
      </c>
      <c r="E34" s="15">
        <v>78194</v>
      </c>
      <c r="F34" s="15">
        <v>83137</v>
      </c>
      <c r="G34" s="16">
        <f>IF(AND(F65&lt;&gt;0,83137&lt;&gt;0),IF(100*83137/(F65-0)&lt;0.005,"*",100*83137/(F65-0)),0)</f>
        <v>0.45266361094091601</v>
      </c>
    </row>
    <row r="35" spans="1:7" x14ac:dyDescent="0.2">
      <c r="A35" s="9" t="s">
        <v>123</v>
      </c>
      <c r="B35" s="15">
        <v>40496</v>
      </c>
      <c r="C35" s="15">
        <v>0</v>
      </c>
      <c r="D35" s="15">
        <v>44854</v>
      </c>
      <c r="E35" s="15">
        <v>44854</v>
      </c>
      <c r="F35" s="15">
        <v>47233</v>
      </c>
      <c r="G35" s="16">
        <f>IF(AND(F65&lt;&gt;0,47233&lt;&gt;0),IF(100*47233/(F65-0)&lt;0.005,"*",100*47233/(F65-0)),0)</f>
        <v>0.25717382555988655</v>
      </c>
    </row>
    <row r="36" spans="1:7" x14ac:dyDescent="0.2">
      <c r="A36" s="9" t="s">
        <v>124</v>
      </c>
      <c r="B36" s="15">
        <v>490175</v>
      </c>
      <c r="C36" s="15">
        <v>0</v>
      </c>
      <c r="D36" s="15">
        <v>519667</v>
      </c>
      <c r="E36" s="15">
        <v>519667</v>
      </c>
      <c r="F36" s="15">
        <v>547231</v>
      </c>
      <c r="G36" s="16">
        <f>IF(AND(F65&lt;&gt;0,547231&lt;&gt;0),IF(100*547231/(F65-0)&lt;0.005,"*",100*547231/(F65-0)),0)</f>
        <v>2.9795585657265526</v>
      </c>
    </row>
    <row r="37" spans="1:7" x14ac:dyDescent="0.2">
      <c r="A37" s="9" t="s">
        <v>125</v>
      </c>
      <c r="B37" s="15">
        <v>144059</v>
      </c>
      <c r="C37" s="15">
        <v>0</v>
      </c>
      <c r="D37" s="15">
        <v>101350</v>
      </c>
      <c r="E37" s="15">
        <v>101350</v>
      </c>
      <c r="F37" s="15">
        <v>106726</v>
      </c>
      <c r="G37" s="16">
        <f>IF(AND(F65&lt;&gt;0,106726&lt;&gt;0),IF(100*106726/(F65-0)&lt;0.005,"*",100*106726/(F65-0)),0)</f>
        <v>0.58110079196122311</v>
      </c>
    </row>
    <row r="38" spans="1:7" x14ac:dyDescent="0.2">
      <c r="A38" s="9" t="s">
        <v>126</v>
      </c>
      <c r="B38" s="15">
        <v>1306261</v>
      </c>
      <c r="C38" s="15">
        <v>0</v>
      </c>
      <c r="D38" s="15">
        <v>1473123</v>
      </c>
      <c r="E38" s="15">
        <v>1473123</v>
      </c>
      <c r="F38" s="15">
        <v>1551260</v>
      </c>
      <c r="G38" s="16">
        <f>IF(AND(F65&lt;&gt;0,1551260&lt;&gt;0),IF(100*1551260/(F65-0)&lt;0.005,"*",100*1551260/(F65-0)),0)</f>
        <v>8.4462868892094427</v>
      </c>
    </row>
    <row r="39" spans="1:7" x14ac:dyDescent="0.2">
      <c r="A39" s="9" t="s">
        <v>127</v>
      </c>
      <c r="B39" s="15">
        <v>508703</v>
      </c>
      <c r="C39" s="15">
        <v>0</v>
      </c>
      <c r="D39" s="15">
        <v>500692</v>
      </c>
      <c r="E39" s="15">
        <v>500692</v>
      </c>
      <c r="F39" s="15">
        <v>527752</v>
      </c>
      <c r="G39" s="16">
        <f>IF(AND(F65&lt;&gt;0,527752&lt;&gt;0),IF(100*527752/(F65-0)&lt;0.005,"*",100*527752/(F65-0)),0)</f>
        <v>2.8734994767827837</v>
      </c>
    </row>
    <row r="40" spans="1:7" x14ac:dyDescent="0.2">
      <c r="A40" s="9" t="s">
        <v>128</v>
      </c>
      <c r="B40" s="15">
        <v>23423</v>
      </c>
      <c r="C40" s="15">
        <v>0</v>
      </c>
      <c r="D40" s="15">
        <v>26680</v>
      </c>
      <c r="E40" s="15">
        <v>26680</v>
      </c>
      <c r="F40" s="15">
        <v>28217</v>
      </c>
      <c r="G40" s="16">
        <f>IF(AND(F65&lt;&gt;0,28217&lt;&gt;0),IF(100*28217/(F65-0)&lt;0.005,"*",100*28217/(F65-0)),0)</f>
        <v>0.1536356749692655</v>
      </c>
    </row>
    <row r="41" spans="1:7" x14ac:dyDescent="0.2">
      <c r="A41" s="9" t="s">
        <v>129</v>
      </c>
      <c r="B41" s="15">
        <v>458708</v>
      </c>
      <c r="C41" s="15">
        <v>0</v>
      </c>
      <c r="D41" s="15">
        <v>520821</v>
      </c>
      <c r="E41" s="15">
        <v>520821</v>
      </c>
      <c r="F41" s="15">
        <v>548447</v>
      </c>
      <c r="G41" s="16">
        <f>IF(AND(F65&lt;&gt;0,548447&lt;&gt;0),IF(100*548447/(F65-0)&lt;0.005,"*",100*548447/(F65-0)),0)</f>
        <v>2.9861794318981025</v>
      </c>
    </row>
    <row r="42" spans="1:7" x14ac:dyDescent="0.2">
      <c r="A42" s="9" t="s">
        <v>130</v>
      </c>
      <c r="B42" s="15">
        <v>263996</v>
      </c>
      <c r="C42" s="15">
        <v>0</v>
      </c>
      <c r="D42" s="15">
        <v>233625</v>
      </c>
      <c r="E42" s="15">
        <v>233625</v>
      </c>
      <c r="F42" s="15">
        <v>246017</v>
      </c>
      <c r="G42" s="16">
        <f>IF(AND(F65&lt;&gt;0,246017&lt;&gt;0),IF(100*246017/(F65-0)&lt;0.005,"*",100*246017/(F65-0)),0)</f>
        <v>1.3395112112880105</v>
      </c>
    </row>
    <row r="43" spans="1:7" x14ac:dyDescent="0.2">
      <c r="A43" s="9" t="s">
        <v>131</v>
      </c>
      <c r="B43" s="15">
        <v>395925</v>
      </c>
      <c r="C43" s="15">
        <v>0</v>
      </c>
      <c r="D43" s="15">
        <v>370148</v>
      </c>
      <c r="E43" s="15">
        <v>370148</v>
      </c>
      <c r="F43" s="15">
        <v>391333</v>
      </c>
      <c r="G43" s="16">
        <f>IF(AND(F65&lt;&gt;0,391333&lt;&gt;0),IF(100*391333/(F65-0)&lt;0.005,"*",100*391333/(F65-0)),0)</f>
        <v>2.1307264979532756</v>
      </c>
    </row>
    <row r="44" spans="1:7" x14ac:dyDescent="0.2">
      <c r="A44" s="9" t="s">
        <v>132</v>
      </c>
      <c r="B44" s="15">
        <v>558435</v>
      </c>
      <c r="C44" s="15">
        <v>0</v>
      </c>
      <c r="D44" s="15">
        <v>668188</v>
      </c>
      <c r="E44" s="15">
        <v>668188</v>
      </c>
      <c r="F44" s="15">
        <v>703631</v>
      </c>
      <c r="G44" s="16">
        <f>IF(AND(F65&lt;&gt;0,703631&lt;&gt;0),IF(100*703631/(F65-0)&lt;0.005,"*",100*703631/(F65-0)),0)</f>
        <v>3.8311239187120978</v>
      </c>
    </row>
    <row r="45" spans="1:7" x14ac:dyDescent="0.2">
      <c r="A45" s="9" t="s">
        <v>133</v>
      </c>
      <c r="B45" s="15">
        <v>77121</v>
      </c>
      <c r="C45" s="15">
        <v>0</v>
      </c>
      <c r="D45" s="15">
        <v>92975</v>
      </c>
      <c r="E45" s="15">
        <v>92975</v>
      </c>
      <c r="F45" s="15">
        <v>97907</v>
      </c>
      <c r="G45" s="16">
        <f>IF(AND(F65&lt;&gt;0,97907&lt;&gt;0),IF(100*97907/(F65-0)&lt;0.005,"*",100*97907/(F65-0)),0)</f>
        <v>0.53308317784370696</v>
      </c>
    </row>
    <row r="46" spans="1:7" x14ac:dyDescent="0.2">
      <c r="A46" s="9" t="s">
        <v>134</v>
      </c>
      <c r="B46" s="15">
        <v>163984</v>
      </c>
      <c r="C46" s="15">
        <v>0</v>
      </c>
      <c r="D46" s="15">
        <v>184648</v>
      </c>
      <c r="E46" s="15">
        <v>184648</v>
      </c>
      <c r="F46" s="15">
        <v>195156</v>
      </c>
      <c r="G46" s="16">
        <f>IF(AND(F65&lt;&gt;0,195156&lt;&gt;0),IF(100*195156/(F65-0)&lt;0.005,"*",100*195156/(F65-0)),0)</f>
        <v>1.0625836830386639</v>
      </c>
    </row>
    <row r="47" spans="1:7" x14ac:dyDescent="0.2">
      <c r="A47" s="9" t="s">
        <v>135</v>
      </c>
      <c r="B47" s="15">
        <v>28763</v>
      </c>
      <c r="C47" s="15">
        <v>0</v>
      </c>
      <c r="D47" s="15">
        <v>31233</v>
      </c>
      <c r="E47" s="15">
        <v>31233</v>
      </c>
      <c r="F47" s="15">
        <v>33088</v>
      </c>
      <c r="G47" s="16">
        <f>IF(AND(F65&lt;&gt;0,33088&lt;&gt;0),IF(100*33088/(F65-0)&lt;0.005,"*",100*33088/(F65-0)),0)</f>
        <v>0.18015725319428208</v>
      </c>
    </row>
    <row r="48" spans="1:7" x14ac:dyDescent="0.2">
      <c r="A48" s="9" t="s">
        <v>136</v>
      </c>
      <c r="B48" s="15">
        <v>493200</v>
      </c>
      <c r="C48" s="15">
        <v>0</v>
      </c>
      <c r="D48" s="15">
        <v>234625</v>
      </c>
      <c r="E48" s="15">
        <v>234625</v>
      </c>
      <c r="F48" s="15">
        <v>247535</v>
      </c>
      <c r="G48" s="16">
        <f>IF(AND(F65&lt;&gt;0,247535&lt;&gt;0),IF(100*247535/(F65-0)&lt;0.005,"*",100*247535/(F65-0)),0)</f>
        <v>1.3477764044199292</v>
      </c>
    </row>
    <row r="49" spans="1:7" x14ac:dyDescent="0.2">
      <c r="A49" s="9" t="s">
        <v>137</v>
      </c>
      <c r="B49" s="15">
        <v>1476320</v>
      </c>
      <c r="C49" s="15">
        <v>0</v>
      </c>
      <c r="D49" s="15">
        <v>1510172</v>
      </c>
      <c r="E49" s="15">
        <v>1510172</v>
      </c>
      <c r="F49" s="15">
        <v>1600031</v>
      </c>
      <c r="G49" s="16">
        <f>IF(AND(F65&lt;&gt;0,1600031&lt;&gt;0),IF(100*1600031/(F65-0)&lt;0.005,"*",100*1600031/(F65-0)),0)</f>
        <v>8.7118348037264361</v>
      </c>
    </row>
    <row r="50" spans="1:7" x14ac:dyDescent="0.2">
      <c r="A50" s="9" t="s">
        <v>138</v>
      </c>
      <c r="B50" s="15">
        <v>140549</v>
      </c>
      <c r="C50" s="15">
        <v>0</v>
      </c>
      <c r="D50" s="15">
        <v>135050</v>
      </c>
      <c r="E50" s="15">
        <v>135050</v>
      </c>
      <c r="F50" s="15">
        <v>142938</v>
      </c>
      <c r="G50" s="16">
        <f>IF(AND(F65&lt;&gt;0,142938&lt;&gt;0),IF(100*142938/(F65-0)&lt;0.005,"*",100*142938/(F65-0)),0)</f>
        <v>0.77826757305017802</v>
      </c>
    </row>
    <row r="51" spans="1:7" x14ac:dyDescent="0.2">
      <c r="A51" s="9" t="s">
        <v>139</v>
      </c>
      <c r="B51" s="15">
        <v>32027</v>
      </c>
      <c r="C51" s="15">
        <v>0</v>
      </c>
      <c r="D51" s="15">
        <v>28251</v>
      </c>
      <c r="E51" s="15">
        <v>28251</v>
      </c>
      <c r="F51" s="15">
        <v>29749</v>
      </c>
      <c r="G51" s="16">
        <f>IF(AND(F65&lt;&gt;0,29749&lt;&gt;0),IF(100*29749/(F65-0)&lt;0.005,"*",100*29749/(F65-0)),0)</f>
        <v>0.161977095178817</v>
      </c>
    </row>
    <row r="52" spans="1:7" x14ac:dyDescent="0.2">
      <c r="A52" s="9" t="s">
        <v>140</v>
      </c>
      <c r="B52" s="15">
        <v>308267</v>
      </c>
      <c r="C52" s="15">
        <v>0</v>
      </c>
      <c r="D52" s="15">
        <v>378406</v>
      </c>
      <c r="E52" s="15">
        <v>378406</v>
      </c>
      <c r="F52" s="15">
        <v>398477</v>
      </c>
      <c r="G52" s="16">
        <f>IF(AND(F65&lt;&gt;0,398477&lt;&gt;0),IF(100*398477/(F65-0)&lt;0.005,"*",100*398477/(F65-0)),0)</f>
        <v>2.1696240867111323</v>
      </c>
    </row>
    <row r="53" spans="1:7" x14ac:dyDescent="0.2">
      <c r="A53" s="9" t="s">
        <v>141</v>
      </c>
      <c r="B53" s="15">
        <v>259291</v>
      </c>
      <c r="C53" s="15">
        <v>0</v>
      </c>
      <c r="D53" s="15">
        <v>236313</v>
      </c>
      <c r="E53" s="15">
        <v>236313</v>
      </c>
      <c r="F53" s="15">
        <v>251080</v>
      </c>
      <c r="G53" s="16">
        <f>IF(AND(F65&lt;&gt;0,251080&lt;&gt;0),IF(100*251080/(F65-0)&lt;0.005,"*",100*251080/(F65-0)),0)</f>
        <v>1.3670781894348507</v>
      </c>
    </row>
    <row r="54" spans="1:7" x14ac:dyDescent="0.2">
      <c r="A54" s="9" t="s">
        <v>142</v>
      </c>
      <c r="B54" s="15">
        <v>64647</v>
      </c>
      <c r="C54" s="15">
        <v>0</v>
      </c>
      <c r="D54" s="15">
        <v>77391</v>
      </c>
      <c r="E54" s="15">
        <v>77391</v>
      </c>
      <c r="F54" s="15">
        <v>81496</v>
      </c>
      <c r="G54" s="16">
        <f>IF(AND(F65&lt;&gt;0,81496&lt;&gt;0),IF(100*81496/(F65-0)&lt;0.005,"*",100*81496/(F65-0)),0)</f>
        <v>0.44372870848407919</v>
      </c>
    </row>
    <row r="55" spans="1:7" x14ac:dyDescent="0.2">
      <c r="A55" s="9" t="s">
        <v>143</v>
      </c>
      <c r="B55" s="15">
        <v>237692</v>
      </c>
      <c r="C55" s="15">
        <v>0</v>
      </c>
      <c r="D55" s="15">
        <v>272798</v>
      </c>
      <c r="E55" s="15">
        <v>272798</v>
      </c>
      <c r="F55" s="15">
        <v>287268</v>
      </c>
      <c r="G55" s="16">
        <f>IF(AND(F65&lt;&gt;0,287268&lt;&gt;0),IF(100*287268/(F65-0)&lt;0.005,"*",100*287268/(F65-0)),0)</f>
        <v>1.5641142955335778</v>
      </c>
    </row>
    <row r="56" spans="1:7" x14ac:dyDescent="0.2">
      <c r="A56" s="9" t="s">
        <v>144</v>
      </c>
      <c r="B56" s="15">
        <v>13392</v>
      </c>
      <c r="C56" s="15">
        <v>0</v>
      </c>
      <c r="D56" s="15">
        <v>13382</v>
      </c>
      <c r="E56" s="15">
        <v>13382</v>
      </c>
      <c r="F56" s="15">
        <v>14092</v>
      </c>
      <c r="G56" s="16">
        <f>IF(AND(F65&lt;&gt;0,14092&lt;&gt;0),IF(100*14092/(F65-0)&lt;0.005,"*",100*14092/(F65-0)),0)</f>
        <v>7.672799842885103E-2</v>
      </c>
    </row>
    <row r="57" spans="1:7" x14ac:dyDescent="0.2">
      <c r="A57" s="9" t="s">
        <v>145</v>
      </c>
      <c r="B57" s="15">
        <v>3073</v>
      </c>
      <c r="C57" s="15">
        <v>0</v>
      </c>
      <c r="D57" s="15">
        <v>4832</v>
      </c>
      <c r="E57" s="15">
        <v>4832</v>
      </c>
      <c r="F57" s="15">
        <v>5088</v>
      </c>
      <c r="G57" s="16">
        <f>IF(AND(F65&lt;&gt;0,5088&lt;&gt;0),IF(100*5088/(F65-0)&lt;0.005,"*",100*5088/(F65-0)),0)</f>
        <v>2.7703097928327709E-2</v>
      </c>
    </row>
    <row r="58" spans="1:7" x14ac:dyDescent="0.2">
      <c r="A58" s="9" t="s">
        <v>146</v>
      </c>
      <c r="B58" s="15">
        <v>28144</v>
      </c>
      <c r="C58" s="15">
        <v>0</v>
      </c>
      <c r="D58" s="15">
        <v>32227</v>
      </c>
      <c r="E58" s="15">
        <v>32227</v>
      </c>
      <c r="F58" s="15">
        <v>33936</v>
      </c>
      <c r="G58" s="16">
        <f>IF(AND(F65&lt;&gt;0,33936&lt;&gt;0),IF(100*33936/(F65-0)&lt;0.005,"*",100*33936/(F65-0)),0)</f>
        <v>0.18477443618233669</v>
      </c>
    </row>
    <row r="59" spans="1:7" x14ac:dyDescent="0.2">
      <c r="A59" s="9" t="s">
        <v>147</v>
      </c>
      <c r="B59" s="15">
        <v>7101</v>
      </c>
      <c r="C59" s="15">
        <v>0</v>
      </c>
      <c r="D59" s="15">
        <v>11196</v>
      </c>
      <c r="E59" s="15">
        <v>11196</v>
      </c>
      <c r="F59" s="15">
        <v>11790</v>
      </c>
      <c r="G59" s="16">
        <f>IF(AND(F65&lt;&gt;0,11790&lt;&gt;0),IF(100*11790/(F65-0)&lt;0.005,"*",100*11790/(F65-0)),0)</f>
        <v>6.4194088949485792E-2</v>
      </c>
    </row>
    <row r="60" spans="1:7" x14ac:dyDescent="0.2">
      <c r="A60" s="9" t="s">
        <v>148</v>
      </c>
      <c r="B60" s="15">
        <v>203834</v>
      </c>
      <c r="C60" s="15">
        <v>0</v>
      </c>
      <c r="D60" s="15">
        <v>182575</v>
      </c>
      <c r="E60" s="15">
        <v>182575</v>
      </c>
      <c r="F60" s="15">
        <v>192259</v>
      </c>
      <c r="G60" s="16">
        <f>IF(AND(F65&lt;&gt;0,192259&lt;&gt;0),IF(100*192259/(F65-0)&lt;0.005,"*",100*192259/(F65-0)),0)</f>
        <v>1.0468101227598972</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7283</v>
      </c>
      <c r="C62" s="15">
        <v>0</v>
      </c>
      <c r="D62" s="15">
        <v>10948</v>
      </c>
      <c r="E62" s="15">
        <v>10948</v>
      </c>
      <c r="F62" s="15">
        <v>11528</v>
      </c>
      <c r="G62" s="16">
        <f>IF(AND(F65&lt;&gt;0,11528&lt;&gt;0),IF(100*11528/(F65-0)&lt;0.005,"*",100*11528/(F65-0)),0)</f>
        <v>6.2767553639497209E-2</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465651</v>
      </c>
      <c r="E64" s="15">
        <v>465651</v>
      </c>
      <c r="F64" s="15">
        <v>0</v>
      </c>
      <c r="G64" s="16">
        <v>0</v>
      </c>
    </row>
    <row r="65" spans="1:7" ht="15" customHeight="1" x14ac:dyDescent="0.2">
      <c r="A65" s="17" t="s">
        <v>93</v>
      </c>
      <c r="B65" s="18">
        <f>338511+34629+388596+205813+2825935+270403+81968+37330+45825+734065+429677+55380+88438+579663+202328+163436+132007+284025+379958+37827+313409+710910+280390+122348+335501+233717+110278+77075+74884+40496+490175+144059+1306261+508703+23423+458708+263996+395925+558435+77121+163984+28763+493200+1476320+140549+32027+308267+259291+64647+237692+13392+3073+28144+7101+203834+0+7283+0+0+0</f>
        <v>17309195</v>
      </c>
      <c r="C65" s="18">
        <f>0+0+0+0+0+0+0+0+0+0+0+0+0+0+0+0+0+0+0+0+0+0+0+0+0+0+0+0+0+0+0+0+0+0+0+0+0+0+0+0+0+0+0+0+0+0+0+0+0+0+0+0+0+0+0+0+0+0+0+0</f>
        <v>0</v>
      </c>
      <c r="D65" s="18">
        <f>396288+30418+251666+167790+3038425+298414+101405+37871+49217+793192+444313+63149+78353+392710+261535+130026+119145+218000+373254+37049+316638+724570+273742+129392+257202+278965+91428+87084+78194+44854+519667+101350+1473123+500692+26680+520821+233625+370148+668188+92975+184648+31233+234625+1510172+135050+28251+378406+236313+77391+272798+13382+4832+32227+11196+182575+0+10948+0+465651+0</f>
        <v>17881256</v>
      </c>
      <c r="E65" s="18">
        <f>SUM(C65:D65)</f>
        <v>17881256</v>
      </c>
      <c r="F65" s="18">
        <f>417308+32031+265344+176690+3199589+314242+106783+39880+53111+841093+467880+66499+83426+413540+275407+136960+125465+229563+393052+39014+333433+763002+288261+136842+270845+293762+96807+91946+83137+47233+547231+106726+1551260+527752+28217+548447+246017+391333+703631+97907+195156+33088+247535+1600031+142938+29749+398477+251080+81496+287268+14092+5088+33936+11790+192259+0+11528+0+0+0</f>
        <v>18366177</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workbookViewId="0"/>
  </sheetViews>
  <sheetFormatPr defaultRowHeight="12.75" x14ac:dyDescent="0.2"/>
  <cols>
    <col min="1" max="1" width="30.7109375" customWidth="1"/>
    <col min="2" max="7" width="11.7109375" customWidth="1"/>
  </cols>
  <sheetData>
    <row r="1" spans="1:7" ht="38.25" customHeight="1" x14ac:dyDescent="0.2">
      <c r="A1" s="10" t="s">
        <v>202</v>
      </c>
      <c r="B1" s="8"/>
      <c r="C1" s="8"/>
      <c r="D1" s="8"/>
      <c r="E1" s="8"/>
      <c r="F1" s="8"/>
      <c r="G1" s="10" t="s">
        <v>205</v>
      </c>
    </row>
    <row r="2" spans="1:7" x14ac:dyDescent="0.2">
      <c r="A2" s="11" t="s">
        <v>206</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4229615</v>
      </c>
      <c r="C6" s="15">
        <v>0</v>
      </c>
      <c r="D6" s="15">
        <v>4527550</v>
      </c>
      <c r="E6" s="15">
        <v>4527550</v>
      </c>
      <c r="F6" s="15">
        <v>4806730</v>
      </c>
      <c r="G6" s="16">
        <f>IF(AND(F68&lt;&gt;24193184,4806730&lt;&gt;0),IF(100*4806730/(F68-24193184)&lt;0.005,"*",100*4806730/(F68-24193184)),0)</f>
        <v>1.1072733257117997</v>
      </c>
    </row>
    <row r="7" spans="1:7" x14ac:dyDescent="0.2">
      <c r="A7" s="9" t="s">
        <v>95</v>
      </c>
      <c r="B7" s="15">
        <v>1608620</v>
      </c>
      <c r="C7" s="15">
        <v>0</v>
      </c>
      <c r="D7" s="15">
        <v>1779375</v>
      </c>
      <c r="E7" s="15">
        <v>1779375</v>
      </c>
      <c r="F7" s="15">
        <v>1860202</v>
      </c>
      <c r="G7" s="16">
        <f>IF(AND(F68&lt;&gt;24193184,1860202&lt;&gt;0),IF(100*1860202/(F68-24193184)&lt;0.005,"*",100*1860202/(F68-24193184)),0)</f>
        <v>0.42851419884947584</v>
      </c>
    </row>
    <row r="8" spans="1:7" x14ac:dyDescent="0.2">
      <c r="A8" s="9" t="s">
        <v>96</v>
      </c>
      <c r="B8" s="15">
        <v>9903728</v>
      </c>
      <c r="C8" s="15">
        <v>0</v>
      </c>
      <c r="D8" s="15">
        <v>10102480</v>
      </c>
      <c r="E8" s="15">
        <v>10102480</v>
      </c>
      <c r="F8" s="15">
        <v>10321899</v>
      </c>
      <c r="G8" s="16">
        <f>IF(AND(F68&lt;&gt;24193184,10321899&lt;&gt;0),IF(100*10321899/(F68-24193184)&lt;0.005,"*",100*10321899/(F68-24193184)),0)</f>
        <v>2.3777419229686916</v>
      </c>
    </row>
    <row r="9" spans="1:7" x14ac:dyDescent="0.2">
      <c r="A9" s="9" t="s">
        <v>97</v>
      </c>
      <c r="B9" s="15">
        <v>5394356</v>
      </c>
      <c r="C9" s="15">
        <v>0</v>
      </c>
      <c r="D9" s="15">
        <v>4966157</v>
      </c>
      <c r="E9" s="15">
        <v>4966157</v>
      </c>
      <c r="F9" s="15">
        <v>5078465</v>
      </c>
      <c r="G9" s="16">
        <f>IF(AND(F68&lt;&gt;24193184,5078465&lt;&gt;0),IF(100*5078465/(F68-24193184)&lt;0.005,"*",100*5078465/(F68-24193184)),0)</f>
        <v>1.1698699178154326</v>
      </c>
    </row>
    <row r="10" spans="1:7" x14ac:dyDescent="0.2">
      <c r="A10" s="9" t="s">
        <v>98</v>
      </c>
      <c r="B10" s="15">
        <v>83952122</v>
      </c>
      <c r="C10" s="15">
        <v>0</v>
      </c>
      <c r="D10" s="15">
        <v>61753100</v>
      </c>
      <c r="E10" s="15">
        <v>61753100</v>
      </c>
      <c r="F10" s="15">
        <v>59200006</v>
      </c>
      <c r="G10" s="16">
        <f>IF(AND(F68&lt;&gt;24193184,59200006&lt;&gt;0),IF(100*59200006/(F68-24193184)&lt;0.005,"*",100*59200006/(F68-24193184)),0)</f>
        <v>13.637251837689758</v>
      </c>
    </row>
    <row r="11" spans="1:7" x14ac:dyDescent="0.2">
      <c r="A11" s="9" t="s">
        <v>99</v>
      </c>
      <c r="B11" s="15">
        <v>5953835</v>
      </c>
      <c r="C11" s="15">
        <v>0</v>
      </c>
      <c r="D11" s="15">
        <v>5555426</v>
      </c>
      <c r="E11" s="15">
        <v>5555426</v>
      </c>
      <c r="F11" s="15">
        <v>5707347</v>
      </c>
      <c r="G11" s="16">
        <f>IF(AND(F68&lt;&gt;24193184,5707347&lt;&gt;0),IF(100*5707347/(F68-24193184)&lt;0.005,"*",100*5707347/(F68-24193184)),0)</f>
        <v>1.3147385215481757</v>
      </c>
    </row>
    <row r="12" spans="1:7" x14ac:dyDescent="0.2">
      <c r="A12" s="9" t="s">
        <v>100</v>
      </c>
      <c r="B12" s="15">
        <v>4703962</v>
      </c>
      <c r="C12" s="15">
        <v>0</v>
      </c>
      <c r="D12" s="15">
        <v>5092080</v>
      </c>
      <c r="E12" s="15">
        <v>5092080</v>
      </c>
      <c r="F12" s="15">
        <v>5048291</v>
      </c>
      <c r="G12" s="16">
        <f>IF(AND(F68&lt;&gt;24193184,5048291&lt;&gt;0),IF(100*5048291/(F68-24193184)&lt;0.005,"*",100*5048291/(F68-24193184)),0)</f>
        <v>1.1629190665443965</v>
      </c>
    </row>
    <row r="13" spans="1:7" x14ac:dyDescent="0.2">
      <c r="A13" s="9" t="s">
        <v>101</v>
      </c>
      <c r="B13" s="15">
        <v>2205737</v>
      </c>
      <c r="C13" s="15">
        <v>0</v>
      </c>
      <c r="D13" s="15">
        <v>1579215</v>
      </c>
      <c r="E13" s="15">
        <v>1579215</v>
      </c>
      <c r="F13" s="15">
        <v>1607823</v>
      </c>
      <c r="G13" s="16">
        <f>IF(AND(F68&lt;&gt;24193184,1607823&lt;&gt;0),IF(100*1607823/(F68-24193184)&lt;0.005,"*",100*1607823/(F68-24193184)),0)</f>
        <v>0.37037643478329818</v>
      </c>
    </row>
    <row r="14" spans="1:7" x14ac:dyDescent="0.2">
      <c r="A14" s="9" t="s">
        <v>102</v>
      </c>
      <c r="B14" s="15">
        <v>2124366</v>
      </c>
      <c r="C14" s="15">
        <v>0</v>
      </c>
      <c r="D14" s="15">
        <v>2412352</v>
      </c>
      <c r="E14" s="15">
        <v>2412352</v>
      </c>
      <c r="F14" s="15">
        <v>2492380</v>
      </c>
      <c r="G14" s="16">
        <f>IF(AND(F68&lt;&gt;24193184,2492380&lt;&gt;0),IF(100*2492380/(F68-24193184)&lt;0.005,"*",100*2492380/(F68-24193184)),0)</f>
        <v>0.57414206571568926</v>
      </c>
    </row>
    <row r="15" spans="1:7" x14ac:dyDescent="0.2">
      <c r="A15" s="9" t="s">
        <v>103</v>
      </c>
      <c r="B15" s="15">
        <v>16934286</v>
      </c>
      <c r="C15" s="15">
        <v>0</v>
      </c>
      <c r="D15" s="15">
        <v>16330957</v>
      </c>
      <c r="E15" s="15">
        <v>16330957</v>
      </c>
      <c r="F15" s="15">
        <v>16448035</v>
      </c>
      <c r="G15" s="16">
        <f>IF(AND(F68&lt;&gt;24193184,16448035&lt;&gt;0),IF(100*16448035/(F68-24193184)&lt;0.005,"*",100*16448035/(F68-24193184)),0)</f>
        <v>3.7889522431828042</v>
      </c>
    </row>
    <row r="16" spans="1:7" x14ac:dyDescent="0.2">
      <c r="A16" s="9" t="s">
        <v>104</v>
      </c>
      <c r="B16" s="15">
        <v>8155553</v>
      </c>
      <c r="C16" s="15">
        <v>0</v>
      </c>
      <c r="D16" s="15">
        <v>7825411</v>
      </c>
      <c r="E16" s="15">
        <v>7825411</v>
      </c>
      <c r="F16" s="15">
        <v>8403867</v>
      </c>
      <c r="G16" s="16">
        <f>IF(AND(F68&lt;&gt;24193184,8403867&lt;&gt;0),IF(100*8403867/(F68-24193184)&lt;0.005,"*",100*8403867/(F68-24193184)),0)</f>
        <v>1.9359060654394245</v>
      </c>
    </row>
    <row r="17" spans="1:7" x14ac:dyDescent="0.2">
      <c r="A17" s="9" t="s">
        <v>105</v>
      </c>
      <c r="B17" s="15">
        <v>1723710</v>
      </c>
      <c r="C17" s="15">
        <v>0</v>
      </c>
      <c r="D17" s="15">
        <v>1479734</v>
      </c>
      <c r="E17" s="15">
        <v>1479734</v>
      </c>
      <c r="F17" s="15">
        <v>1427597</v>
      </c>
      <c r="G17" s="16">
        <f>IF(AND(F68&lt;&gt;24193184,1427597&lt;&gt;0),IF(100*1427597/(F68-24193184)&lt;0.005,"*",100*1427597/(F68-24193184)),0)</f>
        <v>0.32885976078668616</v>
      </c>
    </row>
    <row r="18" spans="1:7" x14ac:dyDescent="0.2">
      <c r="A18" s="9" t="s">
        <v>106</v>
      </c>
      <c r="B18" s="15">
        <v>1614932</v>
      </c>
      <c r="C18" s="15">
        <v>0</v>
      </c>
      <c r="D18" s="15">
        <v>1601563</v>
      </c>
      <c r="E18" s="15">
        <v>1601563</v>
      </c>
      <c r="F18" s="15">
        <v>1666646</v>
      </c>
      <c r="G18" s="16">
        <f>IF(AND(F68&lt;&gt;24193184,1666646&lt;&gt;0),IF(100*1666646/(F68-24193184)&lt;0.005,"*",100*1666646/(F68-24193184)),0)</f>
        <v>0.38392683991076426</v>
      </c>
    </row>
    <row r="19" spans="1:7" x14ac:dyDescent="0.2">
      <c r="A19" s="9" t="s">
        <v>107</v>
      </c>
      <c r="B19" s="15">
        <v>14095993</v>
      </c>
      <c r="C19" s="15">
        <v>0</v>
      </c>
      <c r="D19" s="15">
        <v>12224914</v>
      </c>
      <c r="E19" s="15">
        <v>12224914</v>
      </c>
      <c r="F19" s="15">
        <v>12345343</v>
      </c>
      <c r="G19" s="16">
        <f>IF(AND(F68&lt;&gt;24193184,12345343&lt;&gt;0),IF(100*12345343/(F68-24193184)&lt;0.005,"*",100*12345343/(F68-24193184)),0)</f>
        <v>2.843860379231387</v>
      </c>
    </row>
    <row r="20" spans="1:7" x14ac:dyDescent="0.2">
      <c r="A20" s="9" t="s">
        <v>108</v>
      </c>
      <c r="B20" s="15">
        <v>10198299</v>
      </c>
      <c r="C20" s="15">
        <v>0</v>
      </c>
      <c r="D20" s="15">
        <v>11022924</v>
      </c>
      <c r="E20" s="15">
        <v>11022924</v>
      </c>
      <c r="F20" s="15">
        <v>9442569</v>
      </c>
      <c r="G20" s="16">
        <f>IF(AND(F68&lt;&gt;24193184,9442569&lt;&gt;0),IF(100*9442569/(F68-24193184)&lt;0.005,"*",100*9442569/(F68-24193184)),0)</f>
        <v>2.1751803783222985</v>
      </c>
    </row>
    <row r="21" spans="1:7" x14ac:dyDescent="0.2">
      <c r="A21" s="9" t="s">
        <v>109</v>
      </c>
      <c r="B21" s="15">
        <v>3509678</v>
      </c>
      <c r="C21" s="15">
        <v>0</v>
      </c>
      <c r="D21" s="15">
        <v>3725276</v>
      </c>
      <c r="E21" s="15">
        <v>3725276</v>
      </c>
      <c r="F21" s="15">
        <v>3819880</v>
      </c>
      <c r="G21" s="16">
        <f>IF(AND(F68&lt;&gt;24193184,3819880&lt;&gt;0),IF(100*3819880/(F68-24193184)&lt;0.005,"*",100*3819880/(F68-24193184)),0)</f>
        <v>0.87994358564346009</v>
      </c>
    </row>
    <row r="22" spans="1:7" x14ac:dyDescent="0.2">
      <c r="A22" s="9" t="s">
        <v>110</v>
      </c>
      <c r="B22" s="15">
        <v>2104285</v>
      </c>
      <c r="C22" s="15">
        <v>0</v>
      </c>
      <c r="D22" s="15">
        <v>2385911</v>
      </c>
      <c r="E22" s="15">
        <v>2385911</v>
      </c>
      <c r="F22" s="15">
        <v>2523303</v>
      </c>
      <c r="G22" s="16">
        <f>IF(AND(F68&lt;&gt;24193184,2523303&lt;&gt;0),IF(100*2523303/(F68-24193184)&lt;0.005,"*",100*2523303/(F68-24193184)),0)</f>
        <v>0.58126545584806322</v>
      </c>
    </row>
    <row r="23" spans="1:7" x14ac:dyDescent="0.2">
      <c r="A23" s="9" t="s">
        <v>111</v>
      </c>
      <c r="B23" s="15">
        <v>8367569</v>
      </c>
      <c r="C23" s="15">
        <v>0</v>
      </c>
      <c r="D23" s="15">
        <v>8532471</v>
      </c>
      <c r="E23" s="15">
        <v>8532471</v>
      </c>
      <c r="F23" s="15">
        <v>8710812</v>
      </c>
      <c r="G23" s="16">
        <f>IF(AND(F68&lt;&gt;24193184,8710812&lt;&gt;0),IF(100*8710812/(F68-24193184)&lt;0.005,"*",100*8710812/(F68-24193184)),0)</f>
        <v>2.0066135965386556</v>
      </c>
    </row>
    <row r="24" spans="1:7" x14ac:dyDescent="0.2">
      <c r="A24" s="9" t="s">
        <v>112</v>
      </c>
      <c r="B24" s="15">
        <v>9015657</v>
      </c>
      <c r="C24" s="15">
        <v>0</v>
      </c>
      <c r="D24" s="15">
        <v>9640024</v>
      </c>
      <c r="E24" s="15">
        <v>9640024</v>
      </c>
      <c r="F24" s="15">
        <v>10169465</v>
      </c>
      <c r="G24" s="16">
        <f>IF(AND(F68&lt;&gt;24193184,10169465&lt;&gt;0),IF(100*10169465/(F68-24193184)&lt;0.005,"*",100*10169465/(F68-24193184)),0)</f>
        <v>2.3426273851994486</v>
      </c>
    </row>
    <row r="25" spans="1:7" x14ac:dyDescent="0.2">
      <c r="A25" s="9" t="s">
        <v>113</v>
      </c>
      <c r="B25" s="15">
        <v>1896763</v>
      </c>
      <c r="C25" s="15">
        <v>0</v>
      </c>
      <c r="D25" s="15">
        <v>1869230</v>
      </c>
      <c r="E25" s="15">
        <v>1869230</v>
      </c>
      <c r="F25" s="15">
        <v>1851427</v>
      </c>
      <c r="G25" s="16">
        <f>IF(AND(F68&lt;&gt;24193184,1851427&lt;&gt;0),IF(100*1851427/(F68-24193184)&lt;0.005,"*",100*1851427/(F68-24193184)),0)</f>
        <v>0.42649279897198722</v>
      </c>
    </row>
    <row r="26" spans="1:7" x14ac:dyDescent="0.2">
      <c r="A26" s="9" t="s">
        <v>114</v>
      </c>
      <c r="B26" s="15">
        <v>7379536</v>
      </c>
      <c r="C26" s="15">
        <v>0</v>
      </c>
      <c r="D26" s="15">
        <v>7263597</v>
      </c>
      <c r="E26" s="15">
        <v>7263597</v>
      </c>
      <c r="F26" s="15">
        <v>7306668</v>
      </c>
      <c r="G26" s="16">
        <f>IF(AND(F68&lt;&gt;24193184,7306668&lt;&gt;0),IF(100*7306668/(F68-24193184)&lt;0.005,"*",100*7306668/(F68-24193184)),0)</f>
        <v>1.6831564444501736</v>
      </c>
    </row>
    <row r="27" spans="1:7" x14ac:dyDescent="0.2">
      <c r="A27" s="9" t="s">
        <v>115</v>
      </c>
      <c r="B27" s="15">
        <v>10989463</v>
      </c>
      <c r="C27" s="15">
        <v>0</v>
      </c>
      <c r="D27" s="15">
        <v>11115727</v>
      </c>
      <c r="E27" s="15">
        <v>11115727</v>
      </c>
      <c r="F27" s="15">
        <v>11170938</v>
      </c>
      <c r="G27" s="16">
        <f>IF(AND(F68&lt;&gt;24193184,11170938&lt;&gt;0),IF(100*11170938/(F68-24193184)&lt;0.005,"*",100*11170938/(F68-24193184)),0)</f>
        <v>2.5733256643456821</v>
      </c>
    </row>
    <row r="28" spans="1:7" x14ac:dyDescent="0.2">
      <c r="A28" s="9" t="s">
        <v>116</v>
      </c>
      <c r="B28" s="15">
        <v>12585616</v>
      </c>
      <c r="C28" s="15">
        <v>0</v>
      </c>
      <c r="D28" s="15">
        <v>13568947</v>
      </c>
      <c r="E28" s="15">
        <v>13568947</v>
      </c>
      <c r="F28" s="15">
        <v>14150659</v>
      </c>
      <c r="G28" s="16">
        <f>IF(AND(F68&lt;&gt;24193184,14150659&lt;&gt;0),IF(100*14150659/(F68-24193184)&lt;0.005,"*",100*14150659/(F68-24193184)),0)</f>
        <v>3.2597310961804822</v>
      </c>
    </row>
    <row r="29" spans="1:7" x14ac:dyDescent="0.2">
      <c r="A29" s="9" t="s">
        <v>117</v>
      </c>
      <c r="B29" s="15">
        <v>8182997</v>
      </c>
      <c r="C29" s="15">
        <v>0</v>
      </c>
      <c r="D29" s="15">
        <v>8125767</v>
      </c>
      <c r="E29" s="15">
        <v>8125767</v>
      </c>
      <c r="F29" s="15">
        <v>8804451</v>
      </c>
      <c r="G29" s="16">
        <f>IF(AND(F68&lt;&gt;24193184,8804451&lt;&gt;0),IF(100*8804451/(F68-24193184)&lt;0.005,"*",100*8804451/(F68-24193184)),0)</f>
        <v>2.0281841792313235</v>
      </c>
    </row>
    <row r="30" spans="1:7" x14ac:dyDescent="0.2">
      <c r="A30" s="9" t="s">
        <v>118</v>
      </c>
      <c r="B30" s="15">
        <v>4393502</v>
      </c>
      <c r="C30" s="15">
        <v>0</v>
      </c>
      <c r="D30" s="15">
        <v>4534348</v>
      </c>
      <c r="E30" s="15">
        <v>4534348</v>
      </c>
      <c r="F30" s="15">
        <v>4621243</v>
      </c>
      <c r="G30" s="16">
        <f>IF(AND(F68&lt;&gt;24193184,4621243&lt;&gt;0),IF(100*4621243/(F68-24193184)&lt;0.005,"*",100*4621243/(F68-24193184)),0)</f>
        <v>1.0645447332245361</v>
      </c>
    </row>
    <row r="31" spans="1:7" x14ac:dyDescent="0.2">
      <c r="A31" s="9" t="s">
        <v>119</v>
      </c>
      <c r="B31" s="15">
        <v>7472676</v>
      </c>
      <c r="C31" s="15">
        <v>0</v>
      </c>
      <c r="D31" s="15">
        <v>7532605</v>
      </c>
      <c r="E31" s="15">
        <v>7532605</v>
      </c>
      <c r="F31" s="15">
        <v>7597087</v>
      </c>
      <c r="G31" s="16">
        <f>IF(AND(F68&lt;&gt;24193184,7597087&lt;&gt;0),IF(100*7597087/(F68-24193184)&lt;0.005,"*",100*7597087/(F68-24193184)),0)</f>
        <v>1.7500570633698749</v>
      </c>
    </row>
    <row r="32" spans="1:7" x14ac:dyDescent="0.2">
      <c r="A32" s="9" t="s">
        <v>120</v>
      </c>
      <c r="B32" s="15">
        <v>1545439</v>
      </c>
      <c r="C32" s="15">
        <v>0</v>
      </c>
      <c r="D32" s="15">
        <v>1531613</v>
      </c>
      <c r="E32" s="15">
        <v>1531613</v>
      </c>
      <c r="F32" s="15">
        <v>1594775</v>
      </c>
      <c r="G32" s="16">
        <f>IF(AND(F68&lt;&gt;24193184,1594775&lt;&gt;0),IF(100*1594775/(F68-24193184)&lt;0.005,"*",100*1594775/(F68-24193184)),0)</f>
        <v>0.36737071106803071</v>
      </c>
    </row>
    <row r="33" spans="1:7" x14ac:dyDescent="0.2">
      <c r="A33" s="9" t="s">
        <v>121</v>
      </c>
      <c r="B33" s="15">
        <v>1271073</v>
      </c>
      <c r="C33" s="15">
        <v>0</v>
      </c>
      <c r="D33" s="15">
        <v>1288143</v>
      </c>
      <c r="E33" s="15">
        <v>1288143</v>
      </c>
      <c r="F33" s="15">
        <v>1347543</v>
      </c>
      <c r="G33" s="16">
        <f>IF(AND(F68&lt;&gt;24193184,1347543&lt;&gt;0),IF(100*1347543/(F68-24193184)&lt;0.005,"*",100*1347543/(F68-24193184)),0)</f>
        <v>0.31041860457101927</v>
      </c>
    </row>
    <row r="34" spans="1:7" x14ac:dyDescent="0.2">
      <c r="A34" s="9" t="s">
        <v>122</v>
      </c>
      <c r="B34" s="15">
        <v>3221336</v>
      </c>
      <c r="C34" s="15">
        <v>0</v>
      </c>
      <c r="D34" s="15">
        <v>3398732</v>
      </c>
      <c r="E34" s="15">
        <v>3398732</v>
      </c>
      <c r="F34" s="15">
        <v>3225144</v>
      </c>
      <c r="G34" s="16">
        <f>IF(AND(F68&lt;&gt;24193184,3225144&lt;&gt;0),IF(100*3225144/(F68-24193184)&lt;0.005,"*",100*3225144/(F68-24193184)),0)</f>
        <v>0.74294081897245245</v>
      </c>
    </row>
    <row r="35" spans="1:7" x14ac:dyDescent="0.2">
      <c r="A35" s="9" t="s">
        <v>123</v>
      </c>
      <c r="B35" s="15">
        <v>1396102</v>
      </c>
      <c r="C35" s="15">
        <v>0</v>
      </c>
      <c r="D35" s="15">
        <v>1477344</v>
      </c>
      <c r="E35" s="15">
        <v>1477344</v>
      </c>
      <c r="F35" s="15">
        <v>1479632</v>
      </c>
      <c r="G35" s="16">
        <f>IF(AND(F68&lt;&gt;24193184,1479632&lt;&gt;0),IF(100*1479632/(F68-24193184)&lt;0.005,"*",100*1479632/(F68-24193184)),0)</f>
        <v>0.34084648929097361</v>
      </c>
    </row>
    <row r="36" spans="1:7" x14ac:dyDescent="0.2">
      <c r="A36" s="9" t="s">
        <v>124</v>
      </c>
      <c r="B36" s="15">
        <v>9946174</v>
      </c>
      <c r="C36" s="15">
        <v>0</v>
      </c>
      <c r="D36" s="15">
        <v>9843621</v>
      </c>
      <c r="E36" s="15">
        <v>9843621</v>
      </c>
      <c r="F36" s="15">
        <v>10067052</v>
      </c>
      <c r="G36" s="16">
        <f>IF(AND(F68&lt;&gt;24193184,10067052&lt;&gt;0),IF(100*10067052/(F68-24193184)&lt;0.005,"*",100*10067052/(F68-24193184)),0)</f>
        <v>2.3190356329882529</v>
      </c>
    </row>
    <row r="37" spans="1:7" x14ac:dyDescent="0.2">
      <c r="A37" s="9" t="s">
        <v>125</v>
      </c>
      <c r="B37" s="15">
        <v>4394913</v>
      </c>
      <c r="C37" s="15">
        <v>0</v>
      </c>
      <c r="D37" s="15">
        <v>4573377</v>
      </c>
      <c r="E37" s="15">
        <v>4573377</v>
      </c>
      <c r="F37" s="15">
        <v>4587925</v>
      </c>
      <c r="G37" s="16">
        <f>IF(AND(F68&lt;&gt;24193184,4587925&lt;&gt;0),IF(100*4587925/(F68-24193184)&lt;0.005,"*",100*4587925/(F68-24193184)),0)</f>
        <v>1.0568696333820098</v>
      </c>
    </row>
    <row r="38" spans="1:7" x14ac:dyDescent="0.2">
      <c r="A38" s="9" t="s">
        <v>126</v>
      </c>
      <c r="B38" s="15">
        <v>41463081</v>
      </c>
      <c r="C38" s="15">
        <v>0</v>
      </c>
      <c r="D38" s="15">
        <v>46380819</v>
      </c>
      <c r="E38" s="15">
        <v>46380819</v>
      </c>
      <c r="F38" s="15">
        <v>46806990</v>
      </c>
      <c r="G38" s="16">
        <f>IF(AND(F68&lt;&gt;24193184,46806990&lt;&gt;0),IF(100*46806990/(F68-24193184)&lt;0.005,"*",100*46806990/(F68-24193184)),0)</f>
        <v>10.782409555739338</v>
      </c>
    </row>
    <row r="39" spans="1:7" x14ac:dyDescent="0.2">
      <c r="A39" s="9" t="s">
        <v>127</v>
      </c>
      <c r="B39" s="15">
        <v>10038019</v>
      </c>
      <c r="C39" s="15">
        <v>0</v>
      </c>
      <c r="D39" s="15">
        <v>10162345</v>
      </c>
      <c r="E39" s="15">
        <v>10162345</v>
      </c>
      <c r="F39" s="15">
        <v>10475812</v>
      </c>
      <c r="G39" s="16">
        <f>IF(AND(F68&lt;&gt;24193184,10475812&lt;&gt;0),IF(100*10475812/(F68-24193184)&lt;0.005,"*",100*10475812/(F68-24193184)),0)</f>
        <v>2.4131971616403622</v>
      </c>
    </row>
    <row r="40" spans="1:7" x14ac:dyDescent="0.2">
      <c r="A40" s="9" t="s">
        <v>128</v>
      </c>
      <c r="B40" s="15">
        <v>954367</v>
      </c>
      <c r="C40" s="15">
        <v>0</v>
      </c>
      <c r="D40" s="15">
        <v>860904</v>
      </c>
      <c r="E40" s="15">
        <v>860904</v>
      </c>
      <c r="F40" s="15">
        <v>793304</v>
      </c>
      <c r="G40" s="16">
        <f>IF(AND(F68&lt;&gt;24193184,793304&lt;&gt;0),IF(100*793304/(F68-24193184)&lt;0.005,"*",100*793304/(F68-24193184)),0)</f>
        <v>0.18274468471923189</v>
      </c>
    </row>
    <row r="41" spans="1:7" x14ac:dyDescent="0.2">
      <c r="A41" s="9" t="s">
        <v>129</v>
      </c>
      <c r="B41" s="15">
        <v>16549416</v>
      </c>
      <c r="C41" s="15">
        <v>0</v>
      </c>
      <c r="D41" s="15">
        <v>16898742</v>
      </c>
      <c r="E41" s="15">
        <v>16898742</v>
      </c>
      <c r="F41" s="15">
        <v>17046433</v>
      </c>
      <c r="G41" s="16">
        <f>IF(AND(F68&lt;&gt;24193184,17046433&lt;&gt;0),IF(100*17046433/(F68-24193184)&lt;0.005,"*",100*17046433/(F68-24193184)),0)</f>
        <v>3.9267985843667876</v>
      </c>
    </row>
    <row r="42" spans="1:7" x14ac:dyDescent="0.2">
      <c r="A42" s="9" t="s">
        <v>130</v>
      </c>
      <c r="B42" s="15">
        <v>2957516</v>
      </c>
      <c r="C42" s="15">
        <v>0</v>
      </c>
      <c r="D42" s="15">
        <v>3159129</v>
      </c>
      <c r="E42" s="15">
        <v>3159129</v>
      </c>
      <c r="F42" s="15">
        <v>3340436</v>
      </c>
      <c r="G42" s="16">
        <f>IF(AND(F68&lt;&gt;24193184,3340436&lt;&gt;0),IF(100*3340436/(F68-24193184)&lt;0.005,"*",100*3340436/(F68-24193184)),0)</f>
        <v>0.76949936423460874</v>
      </c>
    </row>
    <row r="43" spans="1:7" x14ac:dyDescent="0.2">
      <c r="A43" s="9" t="s">
        <v>131</v>
      </c>
      <c r="B43" s="15">
        <v>7490519</v>
      </c>
      <c r="C43" s="15">
        <v>0</v>
      </c>
      <c r="D43" s="15">
        <v>7917473</v>
      </c>
      <c r="E43" s="15">
        <v>7917473</v>
      </c>
      <c r="F43" s="15">
        <v>8036471</v>
      </c>
      <c r="G43" s="16">
        <f>IF(AND(F68&lt;&gt;24193184,8036471&lt;&gt;0),IF(100*8036471/(F68-24193184)&lt;0.005,"*",100*8036471/(F68-24193184)),0)</f>
        <v>1.8512731048251996</v>
      </c>
    </row>
    <row r="44" spans="1:7" x14ac:dyDescent="0.2">
      <c r="A44" s="9" t="s">
        <v>132</v>
      </c>
      <c r="B44" s="15">
        <v>18621112</v>
      </c>
      <c r="C44" s="15">
        <v>0</v>
      </c>
      <c r="D44" s="15">
        <v>19229771</v>
      </c>
      <c r="E44" s="15">
        <v>19229771</v>
      </c>
      <c r="F44" s="15">
        <v>21551168</v>
      </c>
      <c r="G44" s="16">
        <f>IF(AND(F68&lt;&gt;24193184,21551168&lt;&gt;0),IF(100*21551168/(F68-24193184)&lt;0.005,"*",100*21551168/(F68-24193184)),0)</f>
        <v>4.9645046558333243</v>
      </c>
    </row>
    <row r="45" spans="1:7" x14ac:dyDescent="0.2">
      <c r="A45" s="9" t="s">
        <v>133</v>
      </c>
      <c r="B45" s="15">
        <v>1852642</v>
      </c>
      <c r="C45" s="15">
        <v>0</v>
      </c>
      <c r="D45" s="15">
        <v>1872169</v>
      </c>
      <c r="E45" s="15">
        <v>1872169</v>
      </c>
      <c r="F45" s="15">
        <v>2012091</v>
      </c>
      <c r="G45" s="16">
        <f>IF(AND(F68&lt;&gt;24193184,2012091&lt;&gt;0),IF(100*2012091/(F68-24193184)&lt;0.005,"*",100*2012091/(F68-24193184)),0)</f>
        <v>0.46350319098530196</v>
      </c>
    </row>
    <row r="46" spans="1:7" x14ac:dyDescent="0.2">
      <c r="A46" s="9" t="s">
        <v>134</v>
      </c>
      <c r="B46" s="15">
        <v>4629433</v>
      </c>
      <c r="C46" s="15">
        <v>0</v>
      </c>
      <c r="D46" s="15">
        <v>4593869</v>
      </c>
      <c r="E46" s="15">
        <v>4593869</v>
      </c>
      <c r="F46" s="15">
        <v>4640072</v>
      </c>
      <c r="G46" s="16">
        <f>IF(AND(F68&lt;&gt;24193184,4640072&lt;&gt;0),IF(100*4640072/(F68-24193184)&lt;0.005,"*",100*4640072/(F68-24193184)),0)</f>
        <v>1.0688821620898619</v>
      </c>
    </row>
    <row r="47" spans="1:7" x14ac:dyDescent="0.2">
      <c r="A47" s="9" t="s">
        <v>135</v>
      </c>
      <c r="B47" s="15">
        <v>595616</v>
      </c>
      <c r="C47" s="15">
        <v>0</v>
      </c>
      <c r="D47" s="15">
        <v>561393</v>
      </c>
      <c r="E47" s="15">
        <v>561393</v>
      </c>
      <c r="F47" s="15">
        <v>567556</v>
      </c>
      <c r="G47" s="16">
        <f>IF(AND(F68&lt;&gt;24193184,567556&lt;&gt;0),IF(100*567556/(F68-24193184)&lt;0.005,"*",100*567556/(F68-24193184)),0)</f>
        <v>0.13074161012740182</v>
      </c>
    </row>
    <row r="48" spans="1:7" x14ac:dyDescent="0.2">
      <c r="A48" s="9" t="s">
        <v>136</v>
      </c>
      <c r="B48" s="15">
        <v>7311062</v>
      </c>
      <c r="C48" s="15">
        <v>0</v>
      </c>
      <c r="D48" s="15">
        <v>8101218</v>
      </c>
      <c r="E48" s="15">
        <v>8101218</v>
      </c>
      <c r="F48" s="15">
        <v>8364777</v>
      </c>
      <c r="G48" s="16">
        <f>IF(AND(F68&lt;&gt;24193184,8364777&lt;&gt;0),IF(100*8364777/(F68-24193184)&lt;0.005,"*",100*8364777/(F68-24193184)),0)</f>
        <v>1.9269013336774834</v>
      </c>
    </row>
    <row r="49" spans="1:7" x14ac:dyDescent="0.2">
      <c r="A49" s="9" t="s">
        <v>137</v>
      </c>
      <c r="B49" s="15">
        <v>22922756</v>
      </c>
      <c r="C49" s="15">
        <v>0</v>
      </c>
      <c r="D49" s="15">
        <v>24703496</v>
      </c>
      <c r="E49" s="15">
        <v>24703496</v>
      </c>
      <c r="F49" s="15">
        <v>24672989</v>
      </c>
      <c r="G49" s="16">
        <f>IF(AND(F68&lt;&gt;24193184,24672989&lt;&gt;0),IF(100*24672989/(F68-24193184)&lt;0.005,"*",100*24672989/(F68-24193184)),0)</f>
        <v>5.6836440959406183</v>
      </c>
    </row>
    <row r="50" spans="1:7" x14ac:dyDescent="0.2">
      <c r="A50" s="9" t="s">
        <v>138</v>
      </c>
      <c r="B50" s="15">
        <v>1873350</v>
      </c>
      <c r="C50" s="15">
        <v>0</v>
      </c>
      <c r="D50" s="15">
        <v>1888082</v>
      </c>
      <c r="E50" s="15">
        <v>1888082</v>
      </c>
      <c r="F50" s="15">
        <v>1879262</v>
      </c>
      <c r="G50" s="16">
        <f>IF(AND(F68&lt;&gt;24193184,1879262&lt;&gt;0),IF(100*1879262/(F68-24193184)&lt;0.005,"*",100*1879262/(F68-24193184)),0)</f>
        <v>0.43290484063465351</v>
      </c>
    </row>
    <row r="51" spans="1:7" x14ac:dyDescent="0.2">
      <c r="A51" s="9" t="s">
        <v>139</v>
      </c>
      <c r="B51" s="15">
        <v>1079890</v>
      </c>
      <c r="C51" s="15">
        <v>0</v>
      </c>
      <c r="D51" s="15">
        <v>1098178</v>
      </c>
      <c r="E51" s="15">
        <v>1098178</v>
      </c>
      <c r="F51" s="15">
        <v>1075349</v>
      </c>
      <c r="G51" s="16">
        <f>IF(AND(F68&lt;&gt;24193184,1075349&lt;&gt;0),IF(100*1075349/(F68-24193184)&lt;0.005,"*",100*1075349/(F68-24193184)),0)</f>
        <v>0.24771627770456381</v>
      </c>
    </row>
    <row r="52" spans="1:7" x14ac:dyDescent="0.2">
      <c r="A52" s="9" t="s">
        <v>140</v>
      </c>
      <c r="B52" s="15">
        <v>5540650</v>
      </c>
      <c r="C52" s="15">
        <v>0</v>
      </c>
      <c r="D52" s="15">
        <v>7648303</v>
      </c>
      <c r="E52" s="15">
        <v>7648303</v>
      </c>
      <c r="F52" s="15">
        <v>9505692</v>
      </c>
      <c r="G52" s="16">
        <f>IF(AND(F68&lt;&gt;24193184,9505692&lt;&gt;0),IF(100*9505692/(F68-24193184)&lt;0.005,"*",100*9505692/(F68-24193184)),0)</f>
        <v>2.1897213269794742</v>
      </c>
    </row>
    <row r="53" spans="1:7" x14ac:dyDescent="0.2">
      <c r="A53" s="9" t="s">
        <v>141</v>
      </c>
      <c r="B53" s="15">
        <v>8220914</v>
      </c>
      <c r="C53" s="15">
        <v>0</v>
      </c>
      <c r="D53" s="15">
        <v>8455424</v>
      </c>
      <c r="E53" s="15">
        <v>8455424</v>
      </c>
      <c r="F53" s="15">
        <v>8703285</v>
      </c>
      <c r="G53" s="16">
        <f>IF(AND(F68&lt;&gt;24193184,8703285&lt;&gt;0),IF(100*8703285/(F68-24193184)&lt;0.005,"*",100*8703285/(F68-24193184)),0)</f>
        <v>2.0048796846437433</v>
      </c>
    </row>
    <row r="54" spans="1:7" x14ac:dyDescent="0.2">
      <c r="A54" s="9" t="s">
        <v>142</v>
      </c>
      <c r="B54" s="15">
        <v>3277623</v>
      </c>
      <c r="C54" s="15">
        <v>0</v>
      </c>
      <c r="D54" s="15">
        <v>3472403</v>
      </c>
      <c r="E54" s="15">
        <v>3472403</v>
      </c>
      <c r="F54" s="15">
        <v>3689207</v>
      </c>
      <c r="G54" s="16">
        <f>IF(AND(F68&lt;&gt;24193184,3689207&lt;&gt;0),IF(100*3689207/(F68-24193184)&lt;0.005,"*",100*3689207/(F68-24193184)),0)</f>
        <v>0.84984188921142878</v>
      </c>
    </row>
    <row r="55" spans="1:7" x14ac:dyDescent="0.2">
      <c r="A55" s="9" t="s">
        <v>143</v>
      </c>
      <c r="B55" s="15">
        <v>5654368</v>
      </c>
      <c r="C55" s="15">
        <v>0</v>
      </c>
      <c r="D55" s="15">
        <v>5654390</v>
      </c>
      <c r="E55" s="15">
        <v>5654390</v>
      </c>
      <c r="F55" s="15">
        <v>5857638</v>
      </c>
      <c r="G55" s="16">
        <f>IF(AND(F68&lt;&gt;24193184,5857638&lt;&gt;0),IF(100*5857638/(F68-24193184)&lt;0.005,"*",100*5857638/(F68-24193184)),0)</f>
        <v>1.3493594000652864</v>
      </c>
    </row>
    <row r="56" spans="1:7" x14ac:dyDescent="0.2">
      <c r="A56" s="9" t="s">
        <v>144</v>
      </c>
      <c r="B56" s="15">
        <v>389280</v>
      </c>
      <c r="C56" s="15">
        <v>0</v>
      </c>
      <c r="D56" s="15">
        <v>389019</v>
      </c>
      <c r="E56" s="15">
        <v>389019</v>
      </c>
      <c r="F56" s="15">
        <v>389711</v>
      </c>
      <c r="G56" s="16">
        <f>IF(AND(F68&lt;&gt;24193184,389711&lt;&gt;0),IF(100*389711/(F68-24193184)&lt;0.005,"*",100*389711/(F68-24193184)),0)</f>
        <v>8.9773420815496427E-2</v>
      </c>
    </row>
    <row r="57" spans="1:7" ht="15" x14ac:dyDescent="0.2">
      <c r="A57" s="9" t="s">
        <v>145</v>
      </c>
      <c r="B57" s="15">
        <v>20749</v>
      </c>
      <c r="C57" s="15">
        <v>0</v>
      </c>
      <c r="D57" s="15">
        <v>19426</v>
      </c>
      <c r="E57" s="15">
        <v>19426</v>
      </c>
      <c r="F57" s="21" t="s">
        <v>207</v>
      </c>
      <c r="G57" s="16" t="str">
        <f>IF(AND(F68&lt;&gt;24193184,18426&lt;&gt;0),IF(100*18426/(F68-24193184)&lt;0.005,"*",100*18426/(F68-24193184)),0)</f>
        <v>*</v>
      </c>
    </row>
    <row r="58" spans="1:7" ht="15" x14ac:dyDescent="0.2">
      <c r="A58" s="9" t="s">
        <v>146</v>
      </c>
      <c r="B58" s="15">
        <v>61698</v>
      </c>
      <c r="C58" s="15">
        <v>0</v>
      </c>
      <c r="D58" s="15">
        <v>54484</v>
      </c>
      <c r="E58" s="15">
        <v>54484</v>
      </c>
      <c r="F58" s="21" t="s">
        <v>208</v>
      </c>
      <c r="G58" s="16">
        <f>IF(AND(F68&lt;&gt;24193184,42406&lt;&gt;0),IF(100*42406/(F68-24193184)&lt;0.005,"*",100*42406/(F68-24193184)),0)</f>
        <v>9.7686020746192478E-3</v>
      </c>
    </row>
    <row r="59" spans="1:7" ht="15" x14ac:dyDescent="0.2">
      <c r="A59" s="9" t="s">
        <v>147</v>
      </c>
      <c r="B59" s="15">
        <v>27208</v>
      </c>
      <c r="C59" s="15">
        <v>0</v>
      </c>
      <c r="D59" s="15">
        <v>9777</v>
      </c>
      <c r="E59" s="15">
        <v>9777</v>
      </c>
      <c r="F59" s="21" t="s">
        <v>209</v>
      </c>
      <c r="G59" s="16" t="str">
        <f>IF(AND(F68&lt;&gt;24193184,6700&lt;&gt;0),IF(100*6700/(F68-24193184)&lt;0.005,"*",100*6700/(F68-24193184)),0)</f>
        <v>*</v>
      </c>
    </row>
    <row r="60" spans="1:7" ht="15" x14ac:dyDescent="0.2">
      <c r="A60" s="9" t="s">
        <v>148</v>
      </c>
      <c r="B60" s="15">
        <v>2927201</v>
      </c>
      <c r="C60" s="15">
        <v>0</v>
      </c>
      <c r="D60" s="15">
        <v>2656665</v>
      </c>
      <c r="E60" s="15">
        <v>2656665</v>
      </c>
      <c r="F60" s="21" t="s">
        <v>210</v>
      </c>
      <c r="G60" s="16">
        <f>IF(AND(F68&lt;&gt;24193184,366700&lt;&gt;0),IF(100*366700/(F68-24193184)&lt;0.005,"*",100*366700/(F68-24193184)),0)</f>
        <v>8.4472630777788008E-2</v>
      </c>
    </row>
    <row r="61" spans="1:7" x14ac:dyDescent="0.2">
      <c r="A61" s="9" t="s">
        <v>149</v>
      </c>
      <c r="B61" s="15">
        <v>0</v>
      </c>
      <c r="C61" s="15">
        <v>0</v>
      </c>
      <c r="D61" s="15">
        <v>0</v>
      </c>
      <c r="E61" s="15">
        <v>0</v>
      </c>
      <c r="F61" s="15">
        <v>0</v>
      </c>
      <c r="G61" s="16">
        <f>IF(AND(F68&lt;&gt;24193184,0&lt;&gt;0),IF(100*0/(F68-24193184)&lt;0.005,"*",100*0/(F68-24193184)),0)</f>
        <v>0</v>
      </c>
    </row>
    <row r="62" spans="1:7" ht="15" x14ac:dyDescent="0.2">
      <c r="A62" s="9" t="s">
        <v>150</v>
      </c>
      <c r="B62" s="15">
        <v>97072</v>
      </c>
      <c r="C62" s="15">
        <v>0</v>
      </c>
      <c r="D62" s="15">
        <v>80134</v>
      </c>
      <c r="E62" s="15">
        <v>80134</v>
      </c>
      <c r="F62" s="21" t="s">
        <v>211</v>
      </c>
      <c r="G62" s="16">
        <f>IF(AND(F68&lt;&gt;24193184,43265&lt;&gt;0),IF(100*43265/(F68-24193184)&lt;0.005,"*",100*43265/(F68-24193184)),0)</f>
        <v>9.9664804216007576E-3</v>
      </c>
    </row>
    <row r="63" spans="1:7" x14ac:dyDescent="0.2">
      <c r="A63" s="9" t="s">
        <v>151</v>
      </c>
      <c r="B63" s="15">
        <v>0</v>
      </c>
      <c r="C63" s="15">
        <v>0</v>
      </c>
      <c r="D63" s="15">
        <v>0</v>
      </c>
      <c r="E63" s="15">
        <v>0</v>
      </c>
      <c r="F63" s="15">
        <v>0</v>
      </c>
      <c r="G63" s="16">
        <f>IF(AND(F68&lt;&gt;24193184,0&lt;&gt;0),IF(100*0/(F68-24193184)&lt;0.005,"*",100*0/(F68-24193184)),0)</f>
        <v>0</v>
      </c>
    </row>
    <row r="64" spans="1:7" x14ac:dyDescent="0.2">
      <c r="A64" s="9" t="s">
        <v>152</v>
      </c>
      <c r="B64" s="15">
        <v>1450150</v>
      </c>
      <c r="C64" s="15">
        <v>0</v>
      </c>
      <c r="D64" s="15">
        <v>17024906</v>
      </c>
      <c r="E64" s="15">
        <v>17024906</v>
      </c>
      <c r="F64" s="15">
        <v>24193184</v>
      </c>
      <c r="G64" s="16">
        <v>0</v>
      </c>
    </row>
    <row r="65" spans="1:7" x14ac:dyDescent="0.2">
      <c r="A65" s="9" t="s">
        <v>212</v>
      </c>
      <c r="B65" s="15">
        <v>259487</v>
      </c>
      <c r="C65" s="15">
        <v>0</v>
      </c>
      <c r="D65" s="15">
        <v>308315</v>
      </c>
      <c r="E65" s="15">
        <v>308315</v>
      </c>
      <c r="F65" s="15">
        <v>286750</v>
      </c>
      <c r="G65" s="16">
        <f>IF(AND(F68&lt;&gt;24193184,286750&lt;&gt;0),IF(100*286750/(F68-24193184)&lt;0.005,"*",100*286750/(F68-24193184)),0)</f>
        <v>6.6055431894002481E-2</v>
      </c>
    </row>
    <row r="66" spans="1:7" x14ac:dyDescent="0.2">
      <c r="A66" s="9" t="s">
        <v>213</v>
      </c>
      <c r="B66" s="15">
        <v>266558</v>
      </c>
      <c r="C66" s="15">
        <v>0</v>
      </c>
      <c r="D66" s="15">
        <v>278000</v>
      </c>
      <c r="E66" s="15">
        <v>278000</v>
      </c>
      <c r="F66" s="15">
        <v>286000</v>
      </c>
      <c r="G66" s="16">
        <f>IF(AND(F68&lt;&gt;24193184,286000&lt;&gt;0),IF(100*286000/(F68-24193184)&lt;0.005,"*",100*286000/(F68-24193184)),0)</f>
        <v>6.5882662673704309E-2</v>
      </c>
    </row>
    <row r="67" spans="1:7" x14ac:dyDescent="0.2">
      <c r="A67" s="9" t="s">
        <v>214</v>
      </c>
      <c r="B67" s="15">
        <v>4388748</v>
      </c>
      <c r="C67" s="15">
        <v>0</v>
      </c>
      <c r="D67" s="15">
        <v>4175681</v>
      </c>
      <c r="E67" s="15">
        <v>4175681</v>
      </c>
      <c r="F67" s="15">
        <v>4761408</v>
      </c>
      <c r="G67" s="16">
        <f>IF(AND(F68&lt;&gt;24193184,4761408&lt;&gt;0),IF(100*4761408/(F68-24193184)&lt;0.005,"*",100*4761408/(F68-24193184)),0)</f>
        <v>1.096832996908661</v>
      </c>
    </row>
    <row r="68" spans="1:7" ht="15" customHeight="1" x14ac:dyDescent="0.2">
      <c r="A68" s="17" t="s">
        <v>93</v>
      </c>
      <c r="B68" s="18">
        <f>4229615+1608620+9903728+5394356+83952122+5953835+4703962+2205737+2124366+16934286+8155553+1723710+1614932+14095993+10198299+3509678+2104285+8367569+9015657+1896763+7379536+10989463+12585616+8182997+4393502+7472676+1545439+1271073+3221336+1396102+9946174+4394913+41463081+10038019+954367+16549416+2957516+7490519+18621112+1852642+4629433+595616+7311062+22922756+1873350+1079890+5540650+8220914+3277623+5654368+389280+20749+61698+27208+2927201+0+97072+0+1450150+259487+266558+4388748+0</f>
        <v>441392378</v>
      </c>
      <c r="C68" s="18">
        <f>0+0+0+0+0+0+0+0+0+0+0+0+0+0+0+0+0+0+0+0+0+0+0+0+0+0+0+0+0+0+0+0+0+0+0+0+0+0+0+0+0+0+0+0+0+0+0+0+0+0+0+0+0+0+0+0+0+0+0+0+0+0+0</f>
        <v>0</v>
      </c>
      <c r="D68" s="18">
        <f>4527550+1779375+10102480+4966157+61753100+5555426+5092080+1579215+2412352+16330957+7825411+1479734+1601563+12224914+11022924+3725276+2385911+8532471+9640024+1869230+7263597+11115727+13568947+8125767+4534348+7532605+1531613+1288143+3398732+1477344+9843621+4573377+46380819+10162345+860904+16898742+3159129+7917473+19229771+1872169+4593869+561393+8101218+24703496+1888082+1098178+7648303+8455424+3472403+5654390+389019+19426+54484+9777+2656665+0+80134+0+17024906+308315+278000+4175681+0</f>
        <v>446314486</v>
      </c>
      <c r="E68" s="18">
        <f>SUM(C68:D68)</f>
        <v>446314486</v>
      </c>
      <c r="F68" s="18">
        <f>4806730+1860202+10321899+5078465+59200006+5707347+5048291+1607823+2492380+16448035+8403867+1427597+1666646+12345343+9442569+3819880+2523303+8710812+10169465+1851427+7306668+11170938+14150659+8804451+4621243+7597087+1594775+1347543+3225144+1479632+10067052+4587925+46806990+10475812+793304+17046433+3340436+8036471+21551168+2012091+4640072+567556+8364777+24672989+1879262+1075349+9505692+8703285+3689207+5857638+389711+18426+42406+6700+366700+0+43265+0+24193184+286750+286000+4761408+0</f>
        <v>458298286</v>
      </c>
      <c r="G68" s="19" t="s">
        <v>215</v>
      </c>
    </row>
    <row r="69" spans="1:7" ht="15" customHeight="1" x14ac:dyDescent="0.2">
      <c r="A69" s="80" t="s">
        <v>154</v>
      </c>
      <c r="B69" s="80"/>
      <c r="C69" s="80"/>
      <c r="D69" s="80"/>
      <c r="E69" s="80"/>
      <c r="F69" s="80"/>
      <c r="G69" s="80"/>
    </row>
    <row r="70" spans="1:7" ht="21" customHeight="1" x14ac:dyDescent="0.2">
      <c r="A70" s="73" t="s">
        <v>382</v>
      </c>
      <c r="B70" s="73"/>
      <c r="C70" s="73"/>
      <c r="D70" s="73"/>
      <c r="E70" s="73"/>
      <c r="F70" s="73"/>
      <c r="G70" s="73"/>
    </row>
    <row r="71" spans="1:7" ht="59.25" customHeight="1" x14ac:dyDescent="0.2">
      <c r="A71" s="66" t="s">
        <v>447</v>
      </c>
      <c r="B71" s="66"/>
      <c r="C71" s="66"/>
      <c r="D71" s="66"/>
      <c r="E71" s="66"/>
      <c r="F71" s="66"/>
      <c r="G71" s="66"/>
    </row>
    <row r="72" spans="1:7" ht="15" customHeight="1" x14ac:dyDescent="0.2">
      <c r="A72" s="66" t="s">
        <v>216</v>
      </c>
      <c r="B72" s="66"/>
      <c r="C72" s="66"/>
      <c r="D72" s="66"/>
      <c r="E72" s="66"/>
      <c r="F72" s="66"/>
      <c r="G72" s="66"/>
    </row>
  </sheetData>
  <mergeCells count="8">
    <mergeCell ref="A71:G71"/>
    <mergeCell ref="A72:G72"/>
    <mergeCell ref="A4:A5"/>
    <mergeCell ref="B4:B5"/>
    <mergeCell ref="F4:F5"/>
    <mergeCell ref="G4:G5"/>
    <mergeCell ref="A69:G69"/>
    <mergeCell ref="A70:G70"/>
  </mergeCells>
  <pageMargins left="0.7" right="0.7" top="0.75" bottom="0.75" header="0.3" footer="0.3"/>
  <pageSetup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0" t="s">
        <v>217</v>
      </c>
      <c r="B1" s="8"/>
      <c r="C1" s="8"/>
      <c r="D1" s="8"/>
      <c r="E1" s="8"/>
      <c r="F1" s="8"/>
      <c r="G1" s="10" t="s">
        <v>218</v>
      </c>
    </row>
    <row r="2" spans="1:7" x14ac:dyDescent="0.2">
      <c r="A2" s="11" t="s">
        <v>219</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31458</v>
      </c>
      <c r="C6" s="15">
        <v>0</v>
      </c>
      <c r="D6" s="15">
        <v>0</v>
      </c>
      <c r="E6" s="15">
        <v>0</v>
      </c>
      <c r="F6" s="15">
        <v>0</v>
      </c>
      <c r="G6" s="16">
        <f>IF(AND(F65&lt;&gt;1315005,0&lt;&gt;0),IF(100*0/(F65-1315005)&lt;0.005,"*",100*0/(F65-1315005)),0)</f>
        <v>0</v>
      </c>
    </row>
    <row r="7" spans="1:7" x14ac:dyDescent="0.2">
      <c r="A7" s="9" t="s">
        <v>95</v>
      </c>
      <c r="B7" s="15">
        <v>1506</v>
      </c>
      <c r="C7" s="15">
        <v>0</v>
      </c>
      <c r="D7" s="15">
        <v>0</v>
      </c>
      <c r="E7" s="15">
        <v>0</v>
      </c>
      <c r="F7" s="15">
        <v>0</v>
      </c>
      <c r="G7" s="16">
        <f>IF(AND(F65&lt;&gt;1315005,0&lt;&gt;0),IF(100*0/(F65-1315005)&lt;0.005,"*",100*0/(F65-1315005)),0)</f>
        <v>0</v>
      </c>
    </row>
    <row r="8" spans="1:7" x14ac:dyDescent="0.2">
      <c r="A8" s="9" t="s">
        <v>96</v>
      </c>
      <c r="B8" s="15">
        <v>16114</v>
      </c>
      <c r="C8" s="15">
        <v>0</v>
      </c>
      <c r="D8" s="15">
        <v>0</v>
      </c>
      <c r="E8" s="15">
        <v>0</v>
      </c>
      <c r="F8" s="15">
        <v>0</v>
      </c>
      <c r="G8" s="16">
        <f>IF(AND(F65&lt;&gt;1315005,0&lt;&gt;0),IF(100*0/(F65-1315005)&lt;0.005,"*",100*0/(F65-1315005)),0)</f>
        <v>0</v>
      </c>
    </row>
    <row r="9" spans="1:7" x14ac:dyDescent="0.2">
      <c r="A9" s="9" t="s">
        <v>97</v>
      </c>
      <c r="B9" s="15">
        <v>7976</v>
      </c>
      <c r="C9" s="15">
        <v>0</v>
      </c>
      <c r="D9" s="15">
        <v>0</v>
      </c>
      <c r="E9" s="15">
        <v>0</v>
      </c>
      <c r="F9" s="15">
        <v>0</v>
      </c>
      <c r="G9" s="16">
        <f>IF(AND(F65&lt;&gt;1315005,0&lt;&gt;0),IF(100*0/(F65-1315005)&lt;0.005,"*",100*0/(F65-1315005)),0)</f>
        <v>0</v>
      </c>
    </row>
    <row r="10" spans="1:7" x14ac:dyDescent="0.2">
      <c r="A10" s="9" t="s">
        <v>98</v>
      </c>
      <c r="B10" s="15">
        <v>174964</v>
      </c>
      <c r="C10" s="15">
        <v>0</v>
      </c>
      <c r="D10" s="15">
        <v>0</v>
      </c>
      <c r="E10" s="15">
        <v>0</v>
      </c>
      <c r="F10" s="15">
        <v>0</v>
      </c>
      <c r="G10" s="16">
        <f>IF(AND(F65&lt;&gt;1315005,0&lt;&gt;0),IF(100*0/(F65-1315005)&lt;0.005,"*",100*0/(F65-1315005)),0)</f>
        <v>0</v>
      </c>
    </row>
    <row r="11" spans="1:7" x14ac:dyDescent="0.2">
      <c r="A11" s="9" t="s">
        <v>99</v>
      </c>
      <c r="B11" s="15">
        <v>13207</v>
      </c>
      <c r="C11" s="15">
        <v>0</v>
      </c>
      <c r="D11" s="15">
        <v>0</v>
      </c>
      <c r="E11" s="15">
        <v>0</v>
      </c>
      <c r="F11" s="15">
        <v>0</v>
      </c>
      <c r="G11" s="16">
        <f>IF(AND(F65&lt;&gt;1315005,0&lt;&gt;0),IF(100*0/(F65-1315005)&lt;0.005,"*",100*0/(F65-1315005)),0)</f>
        <v>0</v>
      </c>
    </row>
    <row r="12" spans="1:7" x14ac:dyDescent="0.2">
      <c r="A12" s="9" t="s">
        <v>100</v>
      </c>
      <c r="B12" s="15">
        <v>11598</v>
      </c>
      <c r="C12" s="15">
        <v>0</v>
      </c>
      <c r="D12" s="15">
        <v>0</v>
      </c>
      <c r="E12" s="15">
        <v>0</v>
      </c>
      <c r="F12" s="15">
        <v>0</v>
      </c>
      <c r="G12" s="16">
        <f>IF(AND(F65&lt;&gt;1315005,0&lt;&gt;0),IF(100*0/(F65-1315005)&lt;0.005,"*",100*0/(F65-1315005)),0)</f>
        <v>0</v>
      </c>
    </row>
    <row r="13" spans="1:7" x14ac:dyDescent="0.2">
      <c r="A13" s="9" t="s">
        <v>101</v>
      </c>
      <c r="B13" s="15">
        <v>4924</v>
      </c>
      <c r="C13" s="15">
        <v>0</v>
      </c>
      <c r="D13" s="15">
        <v>0</v>
      </c>
      <c r="E13" s="15">
        <v>0</v>
      </c>
      <c r="F13" s="15">
        <v>0</v>
      </c>
      <c r="G13" s="16">
        <f>IF(AND(F65&lt;&gt;1315005,0&lt;&gt;0),IF(100*0/(F65-1315005)&lt;0.005,"*",100*0/(F65-1315005)),0)</f>
        <v>0</v>
      </c>
    </row>
    <row r="14" spans="1:7" x14ac:dyDescent="0.2">
      <c r="A14" s="9" t="s">
        <v>102</v>
      </c>
      <c r="B14" s="15">
        <v>10231</v>
      </c>
      <c r="C14" s="15">
        <v>0</v>
      </c>
      <c r="D14" s="15">
        <v>0</v>
      </c>
      <c r="E14" s="15">
        <v>0</v>
      </c>
      <c r="F14" s="15">
        <v>0</v>
      </c>
      <c r="G14" s="16">
        <f>IF(AND(F65&lt;&gt;1315005,0&lt;&gt;0),IF(100*0/(F65-1315005)&lt;0.005,"*",100*0/(F65-1315005)),0)</f>
        <v>0</v>
      </c>
    </row>
    <row r="15" spans="1:7" x14ac:dyDescent="0.2">
      <c r="A15" s="9" t="s">
        <v>103</v>
      </c>
      <c r="B15" s="15">
        <v>142523</v>
      </c>
      <c r="C15" s="15">
        <v>0</v>
      </c>
      <c r="D15" s="15">
        <v>0</v>
      </c>
      <c r="E15" s="15">
        <v>0</v>
      </c>
      <c r="F15" s="15">
        <v>0</v>
      </c>
      <c r="G15" s="16">
        <f>IF(AND(F65&lt;&gt;1315005,0&lt;&gt;0),IF(100*0/(F65-1315005)&lt;0.005,"*",100*0/(F65-1315005)),0)</f>
        <v>0</v>
      </c>
    </row>
    <row r="16" spans="1:7" x14ac:dyDescent="0.2">
      <c r="A16" s="9" t="s">
        <v>104</v>
      </c>
      <c r="B16" s="15">
        <v>68638</v>
      </c>
      <c r="C16" s="15">
        <v>0</v>
      </c>
      <c r="D16" s="15">
        <v>0</v>
      </c>
      <c r="E16" s="15">
        <v>0</v>
      </c>
      <c r="F16" s="15">
        <v>0</v>
      </c>
      <c r="G16" s="16">
        <f>IF(AND(F65&lt;&gt;1315005,0&lt;&gt;0),IF(100*0/(F65-1315005)&lt;0.005,"*",100*0/(F65-1315005)),0)</f>
        <v>0</v>
      </c>
    </row>
    <row r="17" spans="1:7" x14ac:dyDescent="0.2">
      <c r="A17" s="9" t="s">
        <v>105</v>
      </c>
      <c r="B17" s="15">
        <v>3818</v>
      </c>
      <c r="C17" s="15">
        <v>0</v>
      </c>
      <c r="D17" s="15">
        <v>0</v>
      </c>
      <c r="E17" s="15">
        <v>0</v>
      </c>
      <c r="F17" s="15">
        <v>0</v>
      </c>
      <c r="G17" s="16">
        <f>IF(AND(F65&lt;&gt;1315005,0&lt;&gt;0),IF(100*0/(F65-1315005)&lt;0.005,"*",100*0/(F65-1315005)),0)</f>
        <v>0</v>
      </c>
    </row>
    <row r="18" spans="1:7" x14ac:dyDescent="0.2">
      <c r="A18" s="9" t="s">
        <v>106</v>
      </c>
      <c r="B18" s="15">
        <v>5961</v>
      </c>
      <c r="C18" s="15">
        <v>0</v>
      </c>
      <c r="D18" s="15">
        <v>0</v>
      </c>
      <c r="E18" s="15">
        <v>0</v>
      </c>
      <c r="F18" s="15">
        <v>0</v>
      </c>
      <c r="G18" s="16">
        <f>IF(AND(F65&lt;&gt;1315005,0&lt;&gt;0),IF(100*0/(F65-1315005)&lt;0.005,"*",100*0/(F65-1315005)),0)</f>
        <v>0</v>
      </c>
    </row>
    <row r="19" spans="1:7" x14ac:dyDescent="0.2">
      <c r="A19" s="9" t="s">
        <v>107</v>
      </c>
      <c r="B19" s="15">
        <v>42977</v>
      </c>
      <c r="C19" s="15">
        <v>0</v>
      </c>
      <c r="D19" s="15">
        <v>0</v>
      </c>
      <c r="E19" s="15">
        <v>0</v>
      </c>
      <c r="F19" s="15">
        <v>0</v>
      </c>
      <c r="G19" s="16">
        <f>IF(AND(F65&lt;&gt;1315005,0&lt;&gt;0),IF(100*0/(F65-1315005)&lt;0.005,"*",100*0/(F65-1315005)),0)</f>
        <v>0</v>
      </c>
    </row>
    <row r="20" spans="1:7" x14ac:dyDescent="0.2">
      <c r="A20" s="9" t="s">
        <v>108</v>
      </c>
      <c r="B20" s="15">
        <v>26484</v>
      </c>
      <c r="C20" s="15">
        <v>0</v>
      </c>
      <c r="D20" s="15">
        <v>0</v>
      </c>
      <c r="E20" s="15">
        <v>0</v>
      </c>
      <c r="F20" s="15">
        <v>0</v>
      </c>
      <c r="G20" s="16">
        <f>IF(AND(F65&lt;&gt;1315005,0&lt;&gt;0),IF(100*0/(F65-1315005)&lt;0.005,"*",100*0/(F65-1315005)),0)</f>
        <v>0</v>
      </c>
    </row>
    <row r="21" spans="1:7" x14ac:dyDescent="0.2">
      <c r="A21" s="9" t="s">
        <v>109</v>
      </c>
      <c r="B21" s="15">
        <v>14089</v>
      </c>
      <c r="C21" s="15">
        <v>0</v>
      </c>
      <c r="D21" s="15">
        <v>0</v>
      </c>
      <c r="E21" s="15">
        <v>0</v>
      </c>
      <c r="F21" s="15">
        <v>0</v>
      </c>
      <c r="G21" s="16">
        <f>IF(AND(F65&lt;&gt;1315005,0&lt;&gt;0),IF(100*0/(F65-1315005)&lt;0.005,"*",100*0/(F65-1315005)),0)</f>
        <v>0</v>
      </c>
    </row>
    <row r="22" spans="1:7" x14ac:dyDescent="0.2">
      <c r="A22" s="9" t="s">
        <v>110</v>
      </c>
      <c r="B22" s="15">
        <v>3635</v>
      </c>
      <c r="C22" s="15">
        <v>0</v>
      </c>
      <c r="D22" s="15">
        <v>0</v>
      </c>
      <c r="E22" s="15">
        <v>0</v>
      </c>
      <c r="F22" s="15">
        <v>0</v>
      </c>
      <c r="G22" s="16">
        <f>IF(AND(F65&lt;&gt;1315005,0&lt;&gt;0),IF(100*0/(F65-1315005)&lt;0.005,"*",100*0/(F65-1315005)),0)</f>
        <v>0</v>
      </c>
    </row>
    <row r="23" spans="1:7" x14ac:dyDescent="0.2">
      <c r="A23" s="9" t="s">
        <v>111</v>
      </c>
      <c r="B23" s="15">
        <v>9791</v>
      </c>
      <c r="C23" s="15">
        <v>0</v>
      </c>
      <c r="D23" s="15">
        <v>0</v>
      </c>
      <c r="E23" s="15">
        <v>0</v>
      </c>
      <c r="F23" s="15">
        <v>0</v>
      </c>
      <c r="G23" s="16">
        <f>IF(AND(F65&lt;&gt;1315005,0&lt;&gt;0),IF(100*0/(F65-1315005)&lt;0.005,"*",100*0/(F65-1315005)),0)</f>
        <v>0</v>
      </c>
    </row>
    <row r="24" spans="1:7" x14ac:dyDescent="0.2">
      <c r="A24" s="9" t="s">
        <v>112</v>
      </c>
      <c r="B24" s="15">
        <v>24121</v>
      </c>
      <c r="C24" s="15">
        <v>0</v>
      </c>
      <c r="D24" s="15">
        <v>0</v>
      </c>
      <c r="E24" s="15">
        <v>0</v>
      </c>
      <c r="F24" s="15">
        <v>0</v>
      </c>
      <c r="G24" s="16">
        <f>IF(AND(F65&lt;&gt;1315005,0&lt;&gt;0),IF(100*0/(F65-1315005)&lt;0.005,"*",100*0/(F65-1315005)),0)</f>
        <v>0</v>
      </c>
    </row>
    <row r="25" spans="1:7" x14ac:dyDescent="0.2">
      <c r="A25" s="9" t="s">
        <v>113</v>
      </c>
      <c r="B25" s="15">
        <v>3448</v>
      </c>
      <c r="C25" s="15">
        <v>0</v>
      </c>
      <c r="D25" s="15">
        <v>0</v>
      </c>
      <c r="E25" s="15">
        <v>0</v>
      </c>
      <c r="F25" s="15">
        <v>0</v>
      </c>
      <c r="G25" s="16">
        <f>IF(AND(F65&lt;&gt;1315005,0&lt;&gt;0),IF(100*0/(F65-1315005)&lt;0.005,"*",100*0/(F65-1315005)),0)</f>
        <v>0</v>
      </c>
    </row>
    <row r="26" spans="1:7" x14ac:dyDescent="0.2">
      <c r="A26" s="9" t="s">
        <v>114</v>
      </c>
      <c r="B26" s="15">
        <v>35166</v>
      </c>
      <c r="C26" s="15">
        <v>0</v>
      </c>
      <c r="D26" s="15">
        <v>0</v>
      </c>
      <c r="E26" s="15">
        <v>0</v>
      </c>
      <c r="F26" s="15">
        <v>0</v>
      </c>
      <c r="G26" s="16">
        <f>IF(AND(F65&lt;&gt;1315005,0&lt;&gt;0),IF(100*0/(F65-1315005)&lt;0.005,"*",100*0/(F65-1315005)),0)</f>
        <v>0</v>
      </c>
    </row>
    <row r="27" spans="1:7" x14ac:dyDescent="0.2">
      <c r="A27" s="9" t="s">
        <v>115</v>
      </c>
      <c r="B27" s="15">
        <v>26589</v>
      </c>
      <c r="C27" s="15">
        <v>0</v>
      </c>
      <c r="D27" s="15">
        <v>0</v>
      </c>
      <c r="E27" s="15">
        <v>0</v>
      </c>
      <c r="F27" s="15">
        <v>0</v>
      </c>
      <c r="G27" s="16">
        <f>IF(AND(F65&lt;&gt;1315005,0&lt;&gt;0),IF(100*0/(F65-1315005)&lt;0.005,"*",100*0/(F65-1315005)),0)</f>
        <v>0</v>
      </c>
    </row>
    <row r="28" spans="1:7" x14ac:dyDescent="0.2">
      <c r="A28" s="9" t="s">
        <v>116</v>
      </c>
      <c r="B28" s="15">
        <v>18826</v>
      </c>
      <c r="C28" s="15">
        <v>0</v>
      </c>
      <c r="D28" s="15">
        <v>0</v>
      </c>
      <c r="E28" s="15">
        <v>0</v>
      </c>
      <c r="F28" s="15">
        <v>0</v>
      </c>
      <c r="G28" s="16">
        <f>IF(AND(F65&lt;&gt;1315005,0&lt;&gt;0),IF(100*0/(F65-1315005)&lt;0.005,"*",100*0/(F65-1315005)),0)</f>
        <v>0</v>
      </c>
    </row>
    <row r="29" spans="1:7" x14ac:dyDescent="0.2">
      <c r="A29" s="9" t="s">
        <v>117</v>
      </c>
      <c r="B29" s="15">
        <v>10821</v>
      </c>
      <c r="C29" s="15">
        <v>0</v>
      </c>
      <c r="D29" s="15">
        <v>0</v>
      </c>
      <c r="E29" s="15">
        <v>0</v>
      </c>
      <c r="F29" s="15">
        <v>0</v>
      </c>
      <c r="G29" s="16">
        <f>IF(AND(F65&lt;&gt;1315005,0&lt;&gt;0),IF(100*0/(F65-1315005)&lt;0.005,"*",100*0/(F65-1315005)),0)</f>
        <v>0</v>
      </c>
    </row>
    <row r="30" spans="1:7" x14ac:dyDescent="0.2">
      <c r="A30" s="9" t="s">
        <v>118</v>
      </c>
      <c r="B30" s="15">
        <v>17511</v>
      </c>
      <c r="C30" s="15">
        <v>0</v>
      </c>
      <c r="D30" s="15">
        <v>0</v>
      </c>
      <c r="E30" s="15">
        <v>0</v>
      </c>
      <c r="F30" s="15">
        <v>0</v>
      </c>
      <c r="G30" s="16">
        <f>IF(AND(F65&lt;&gt;1315005,0&lt;&gt;0),IF(100*0/(F65-1315005)&lt;0.005,"*",100*0/(F65-1315005)),0)</f>
        <v>0</v>
      </c>
    </row>
    <row r="31" spans="1:7" x14ac:dyDescent="0.2">
      <c r="A31" s="9" t="s">
        <v>119</v>
      </c>
      <c r="B31" s="15">
        <v>14465</v>
      </c>
      <c r="C31" s="15">
        <v>0</v>
      </c>
      <c r="D31" s="15">
        <v>0</v>
      </c>
      <c r="E31" s="15">
        <v>0</v>
      </c>
      <c r="F31" s="15">
        <v>0</v>
      </c>
      <c r="G31" s="16">
        <f>IF(AND(F65&lt;&gt;1315005,0&lt;&gt;0),IF(100*0/(F65-1315005)&lt;0.005,"*",100*0/(F65-1315005)),0)</f>
        <v>0</v>
      </c>
    </row>
    <row r="32" spans="1:7" x14ac:dyDescent="0.2">
      <c r="A32" s="9" t="s">
        <v>120</v>
      </c>
      <c r="B32" s="15">
        <v>2326</v>
      </c>
      <c r="C32" s="15">
        <v>0</v>
      </c>
      <c r="D32" s="15">
        <v>0</v>
      </c>
      <c r="E32" s="15">
        <v>0</v>
      </c>
      <c r="F32" s="15">
        <v>0</v>
      </c>
      <c r="G32" s="16">
        <f>IF(AND(F65&lt;&gt;1315005,0&lt;&gt;0),IF(100*0/(F65-1315005)&lt;0.005,"*",100*0/(F65-1315005)),0)</f>
        <v>0</v>
      </c>
    </row>
    <row r="33" spans="1:7" x14ac:dyDescent="0.2">
      <c r="A33" s="9" t="s">
        <v>121</v>
      </c>
      <c r="B33" s="15">
        <v>4192</v>
      </c>
      <c r="C33" s="15">
        <v>0</v>
      </c>
      <c r="D33" s="15">
        <v>0</v>
      </c>
      <c r="E33" s="15">
        <v>0</v>
      </c>
      <c r="F33" s="15">
        <v>0</v>
      </c>
      <c r="G33" s="16">
        <f>IF(AND(F65&lt;&gt;1315005,0&lt;&gt;0),IF(100*0/(F65-1315005)&lt;0.005,"*",100*0/(F65-1315005)),0)</f>
        <v>0</v>
      </c>
    </row>
    <row r="34" spans="1:7" x14ac:dyDescent="0.2">
      <c r="A34" s="9" t="s">
        <v>122</v>
      </c>
      <c r="B34" s="15">
        <v>9117</v>
      </c>
      <c r="C34" s="15">
        <v>0</v>
      </c>
      <c r="D34" s="15">
        <v>0</v>
      </c>
      <c r="E34" s="15">
        <v>0</v>
      </c>
      <c r="F34" s="15">
        <v>0</v>
      </c>
      <c r="G34" s="16">
        <f>IF(AND(F65&lt;&gt;1315005,0&lt;&gt;0),IF(100*0/(F65-1315005)&lt;0.005,"*",100*0/(F65-1315005)),0)</f>
        <v>0</v>
      </c>
    </row>
    <row r="35" spans="1:7" x14ac:dyDescent="0.2">
      <c r="A35" s="9" t="s">
        <v>123</v>
      </c>
      <c r="B35" s="15">
        <v>1478</v>
      </c>
      <c r="C35" s="15">
        <v>0</v>
      </c>
      <c r="D35" s="15">
        <v>0</v>
      </c>
      <c r="E35" s="15">
        <v>0</v>
      </c>
      <c r="F35" s="15">
        <v>0</v>
      </c>
      <c r="G35" s="16">
        <f>IF(AND(F65&lt;&gt;1315005,0&lt;&gt;0),IF(100*0/(F65-1315005)&lt;0.005,"*",100*0/(F65-1315005)),0)</f>
        <v>0</v>
      </c>
    </row>
    <row r="36" spans="1:7" x14ac:dyDescent="0.2">
      <c r="A36" s="9" t="s">
        <v>124</v>
      </c>
      <c r="B36" s="15">
        <v>41846</v>
      </c>
      <c r="C36" s="15">
        <v>0</v>
      </c>
      <c r="D36" s="15">
        <v>0</v>
      </c>
      <c r="E36" s="15">
        <v>0</v>
      </c>
      <c r="F36" s="15">
        <v>0</v>
      </c>
      <c r="G36" s="16">
        <f>IF(AND(F65&lt;&gt;1315005,0&lt;&gt;0),IF(100*0/(F65-1315005)&lt;0.005,"*",100*0/(F65-1315005)),0)</f>
        <v>0</v>
      </c>
    </row>
    <row r="37" spans="1:7" x14ac:dyDescent="0.2">
      <c r="A37" s="9" t="s">
        <v>125</v>
      </c>
      <c r="B37" s="15">
        <v>4278</v>
      </c>
      <c r="C37" s="15">
        <v>0</v>
      </c>
      <c r="D37" s="15">
        <v>0</v>
      </c>
      <c r="E37" s="15">
        <v>0</v>
      </c>
      <c r="F37" s="15">
        <v>0</v>
      </c>
      <c r="G37" s="16">
        <f>IF(AND(F65&lt;&gt;1315005,0&lt;&gt;0),IF(100*0/(F65-1315005)&lt;0.005,"*",100*0/(F65-1315005)),0)</f>
        <v>0</v>
      </c>
    </row>
    <row r="38" spans="1:7" x14ac:dyDescent="0.2">
      <c r="A38" s="9" t="s">
        <v>126</v>
      </c>
      <c r="B38" s="15">
        <v>169443</v>
      </c>
      <c r="C38" s="15">
        <v>0</v>
      </c>
      <c r="D38" s="15">
        <v>0</v>
      </c>
      <c r="E38" s="15">
        <v>0</v>
      </c>
      <c r="F38" s="15">
        <v>0</v>
      </c>
      <c r="G38" s="16">
        <f>IF(AND(F65&lt;&gt;1315005,0&lt;&gt;0),IF(100*0/(F65-1315005)&lt;0.005,"*",100*0/(F65-1315005)),0)</f>
        <v>0</v>
      </c>
    </row>
    <row r="39" spans="1:7" x14ac:dyDescent="0.2">
      <c r="A39" s="9" t="s">
        <v>127</v>
      </c>
      <c r="B39" s="15">
        <v>41593</v>
      </c>
      <c r="C39" s="15">
        <v>0</v>
      </c>
      <c r="D39" s="15">
        <v>0</v>
      </c>
      <c r="E39" s="15">
        <v>0</v>
      </c>
      <c r="F39" s="15">
        <v>0</v>
      </c>
      <c r="G39" s="16">
        <f>IF(AND(F65&lt;&gt;1315005,0&lt;&gt;0),IF(100*0/(F65-1315005)&lt;0.005,"*",100*0/(F65-1315005)),0)</f>
        <v>0</v>
      </c>
    </row>
    <row r="40" spans="1:7" x14ac:dyDescent="0.2">
      <c r="A40" s="9" t="s">
        <v>128</v>
      </c>
      <c r="B40" s="15">
        <v>902</v>
      </c>
      <c r="C40" s="15">
        <v>0</v>
      </c>
      <c r="D40" s="15">
        <v>0</v>
      </c>
      <c r="E40" s="15">
        <v>0</v>
      </c>
      <c r="F40" s="15">
        <v>0</v>
      </c>
      <c r="G40" s="16">
        <f>IF(AND(F65&lt;&gt;1315005,0&lt;&gt;0),IF(100*0/(F65-1315005)&lt;0.005,"*",100*0/(F65-1315005)),0)</f>
        <v>0</v>
      </c>
    </row>
    <row r="41" spans="1:7" x14ac:dyDescent="0.2">
      <c r="A41" s="9" t="s">
        <v>129</v>
      </c>
      <c r="B41" s="15">
        <v>24872</v>
      </c>
      <c r="C41" s="15">
        <v>0</v>
      </c>
      <c r="D41" s="15">
        <v>0</v>
      </c>
      <c r="E41" s="15">
        <v>0</v>
      </c>
      <c r="F41" s="15">
        <v>0</v>
      </c>
      <c r="G41" s="16">
        <f>IF(AND(F65&lt;&gt;1315005,0&lt;&gt;0),IF(100*0/(F65-1315005)&lt;0.005,"*",100*0/(F65-1315005)),0)</f>
        <v>0</v>
      </c>
    </row>
    <row r="42" spans="1:7" x14ac:dyDescent="0.2">
      <c r="A42" s="9" t="s">
        <v>130</v>
      </c>
      <c r="B42" s="15">
        <v>8557</v>
      </c>
      <c r="C42" s="15">
        <v>0</v>
      </c>
      <c r="D42" s="15">
        <v>0</v>
      </c>
      <c r="E42" s="15">
        <v>0</v>
      </c>
      <c r="F42" s="15">
        <v>0</v>
      </c>
      <c r="G42" s="16">
        <f>IF(AND(F65&lt;&gt;1315005,0&lt;&gt;0),IF(100*0/(F65-1315005)&lt;0.005,"*",100*0/(F65-1315005)),0)</f>
        <v>0</v>
      </c>
    </row>
    <row r="43" spans="1:7" x14ac:dyDescent="0.2">
      <c r="A43" s="9" t="s">
        <v>131</v>
      </c>
      <c r="B43" s="15">
        <v>6037</v>
      </c>
      <c r="C43" s="15">
        <v>0</v>
      </c>
      <c r="D43" s="15">
        <v>0</v>
      </c>
      <c r="E43" s="15">
        <v>0</v>
      </c>
      <c r="F43" s="15">
        <v>0</v>
      </c>
      <c r="G43" s="16">
        <f>IF(AND(F65&lt;&gt;1315005,0&lt;&gt;0),IF(100*0/(F65-1315005)&lt;0.005,"*",100*0/(F65-1315005)),0)</f>
        <v>0</v>
      </c>
    </row>
    <row r="44" spans="1:7" x14ac:dyDescent="0.2">
      <c r="A44" s="9" t="s">
        <v>132</v>
      </c>
      <c r="B44" s="15">
        <v>39338</v>
      </c>
      <c r="C44" s="15">
        <v>0</v>
      </c>
      <c r="D44" s="15">
        <v>0</v>
      </c>
      <c r="E44" s="15">
        <v>0</v>
      </c>
      <c r="F44" s="15">
        <v>0</v>
      </c>
      <c r="G44" s="16">
        <f>IF(AND(F65&lt;&gt;1315005,0&lt;&gt;0),IF(100*0/(F65-1315005)&lt;0.005,"*",100*0/(F65-1315005)),0)</f>
        <v>0</v>
      </c>
    </row>
    <row r="45" spans="1:7" x14ac:dyDescent="0.2">
      <c r="A45" s="9" t="s">
        <v>133</v>
      </c>
      <c r="B45" s="15">
        <v>6251</v>
      </c>
      <c r="C45" s="15">
        <v>0</v>
      </c>
      <c r="D45" s="15">
        <v>0</v>
      </c>
      <c r="E45" s="15">
        <v>0</v>
      </c>
      <c r="F45" s="15">
        <v>0</v>
      </c>
      <c r="G45" s="16">
        <f>IF(AND(F65&lt;&gt;1315005,0&lt;&gt;0),IF(100*0/(F65-1315005)&lt;0.005,"*",100*0/(F65-1315005)),0)</f>
        <v>0</v>
      </c>
    </row>
    <row r="46" spans="1:7" x14ac:dyDescent="0.2">
      <c r="A46" s="9" t="s">
        <v>134</v>
      </c>
      <c r="B46" s="15">
        <v>36589</v>
      </c>
      <c r="C46" s="15">
        <v>0</v>
      </c>
      <c r="D46" s="15">
        <v>0</v>
      </c>
      <c r="E46" s="15">
        <v>0</v>
      </c>
      <c r="F46" s="15">
        <v>0</v>
      </c>
      <c r="G46" s="16">
        <f>IF(AND(F65&lt;&gt;1315005,0&lt;&gt;0),IF(100*0/(F65-1315005)&lt;0.005,"*",100*0/(F65-1315005)),0)</f>
        <v>0</v>
      </c>
    </row>
    <row r="47" spans="1:7" x14ac:dyDescent="0.2">
      <c r="A47" s="9" t="s">
        <v>135</v>
      </c>
      <c r="B47" s="15">
        <v>940</v>
      </c>
      <c r="C47" s="15">
        <v>0</v>
      </c>
      <c r="D47" s="15">
        <v>0</v>
      </c>
      <c r="E47" s="15">
        <v>0</v>
      </c>
      <c r="F47" s="15">
        <v>0</v>
      </c>
      <c r="G47" s="16">
        <f>IF(AND(F65&lt;&gt;1315005,0&lt;&gt;0),IF(100*0/(F65-1315005)&lt;0.005,"*",100*0/(F65-1315005)),0)</f>
        <v>0</v>
      </c>
    </row>
    <row r="48" spans="1:7" x14ac:dyDescent="0.2">
      <c r="A48" s="9" t="s">
        <v>136</v>
      </c>
      <c r="B48" s="15">
        <v>28274</v>
      </c>
      <c r="C48" s="15">
        <v>0</v>
      </c>
      <c r="D48" s="15">
        <v>0</v>
      </c>
      <c r="E48" s="15">
        <v>0</v>
      </c>
      <c r="F48" s="15">
        <v>0</v>
      </c>
      <c r="G48" s="16">
        <f>IF(AND(F65&lt;&gt;1315005,0&lt;&gt;0),IF(100*0/(F65-1315005)&lt;0.005,"*",100*0/(F65-1315005)),0)</f>
        <v>0</v>
      </c>
    </row>
    <row r="49" spans="1:7" x14ac:dyDescent="0.2">
      <c r="A49" s="9" t="s">
        <v>137</v>
      </c>
      <c r="B49" s="15">
        <v>95267</v>
      </c>
      <c r="C49" s="15">
        <v>0</v>
      </c>
      <c r="D49" s="15">
        <v>0</v>
      </c>
      <c r="E49" s="15">
        <v>0</v>
      </c>
      <c r="F49" s="15">
        <v>0</v>
      </c>
      <c r="G49" s="16">
        <f>IF(AND(F65&lt;&gt;1315005,0&lt;&gt;0),IF(100*0/(F65-1315005)&lt;0.005,"*",100*0/(F65-1315005)),0)</f>
        <v>0</v>
      </c>
    </row>
    <row r="50" spans="1:7" x14ac:dyDescent="0.2">
      <c r="A50" s="9" t="s">
        <v>138</v>
      </c>
      <c r="B50" s="15">
        <v>7487</v>
      </c>
      <c r="C50" s="15">
        <v>0</v>
      </c>
      <c r="D50" s="15">
        <v>0</v>
      </c>
      <c r="E50" s="15">
        <v>0</v>
      </c>
      <c r="F50" s="15">
        <v>0</v>
      </c>
      <c r="G50" s="16">
        <f>IF(AND(F65&lt;&gt;1315005,0&lt;&gt;0),IF(100*0/(F65-1315005)&lt;0.005,"*",100*0/(F65-1315005)),0)</f>
        <v>0</v>
      </c>
    </row>
    <row r="51" spans="1:7" x14ac:dyDescent="0.2">
      <c r="A51" s="9" t="s">
        <v>139</v>
      </c>
      <c r="B51" s="15">
        <v>907</v>
      </c>
      <c r="C51" s="15">
        <v>0</v>
      </c>
      <c r="D51" s="15">
        <v>0</v>
      </c>
      <c r="E51" s="15">
        <v>0</v>
      </c>
      <c r="F51" s="15">
        <v>0</v>
      </c>
      <c r="G51" s="16">
        <f>IF(AND(F65&lt;&gt;1315005,0&lt;&gt;0),IF(100*0/(F65-1315005)&lt;0.005,"*",100*0/(F65-1315005)),0)</f>
        <v>0</v>
      </c>
    </row>
    <row r="52" spans="1:7" x14ac:dyDescent="0.2">
      <c r="A52" s="9" t="s">
        <v>140</v>
      </c>
      <c r="B52" s="15">
        <v>37350</v>
      </c>
      <c r="C52" s="15">
        <v>0</v>
      </c>
      <c r="D52" s="15">
        <v>0</v>
      </c>
      <c r="E52" s="15">
        <v>0</v>
      </c>
      <c r="F52" s="15">
        <v>0</v>
      </c>
      <c r="G52" s="16">
        <f>IF(AND(F65&lt;&gt;1315005,0&lt;&gt;0),IF(100*0/(F65-1315005)&lt;0.005,"*",100*0/(F65-1315005)),0)</f>
        <v>0</v>
      </c>
    </row>
    <row r="53" spans="1:7" x14ac:dyDescent="0.2">
      <c r="A53" s="9" t="s">
        <v>141</v>
      </c>
      <c r="B53" s="15">
        <v>13871</v>
      </c>
      <c r="C53" s="15">
        <v>0</v>
      </c>
      <c r="D53" s="15">
        <v>0</v>
      </c>
      <c r="E53" s="15">
        <v>0</v>
      </c>
      <c r="F53" s="15">
        <v>0</v>
      </c>
      <c r="G53" s="16">
        <f>IF(AND(F65&lt;&gt;1315005,0&lt;&gt;0),IF(100*0/(F65-1315005)&lt;0.005,"*",100*0/(F65-1315005)),0)</f>
        <v>0</v>
      </c>
    </row>
    <row r="54" spans="1:7" x14ac:dyDescent="0.2">
      <c r="A54" s="9" t="s">
        <v>142</v>
      </c>
      <c r="B54" s="15">
        <v>2451</v>
      </c>
      <c r="C54" s="15">
        <v>0</v>
      </c>
      <c r="D54" s="15">
        <v>0</v>
      </c>
      <c r="E54" s="15">
        <v>0</v>
      </c>
      <c r="F54" s="15">
        <v>0</v>
      </c>
      <c r="G54" s="16">
        <f>IF(AND(F65&lt;&gt;1315005,0&lt;&gt;0),IF(100*0/(F65-1315005)&lt;0.005,"*",100*0/(F65-1315005)),0)</f>
        <v>0</v>
      </c>
    </row>
    <row r="55" spans="1:7" x14ac:dyDescent="0.2">
      <c r="A55" s="9" t="s">
        <v>143</v>
      </c>
      <c r="B55" s="15">
        <v>11151</v>
      </c>
      <c r="C55" s="15">
        <v>0</v>
      </c>
      <c r="D55" s="15">
        <v>0</v>
      </c>
      <c r="E55" s="15">
        <v>0</v>
      </c>
      <c r="F55" s="15">
        <v>0</v>
      </c>
      <c r="G55" s="16">
        <f>IF(AND(F65&lt;&gt;1315005,0&lt;&gt;0),IF(100*0/(F65-1315005)&lt;0.005,"*",100*0/(F65-1315005)),0)</f>
        <v>0</v>
      </c>
    </row>
    <row r="56" spans="1:7" x14ac:dyDescent="0.2">
      <c r="A56" s="9" t="s">
        <v>144</v>
      </c>
      <c r="B56" s="15">
        <v>753</v>
      </c>
      <c r="C56" s="15">
        <v>0</v>
      </c>
      <c r="D56" s="15">
        <v>0</v>
      </c>
      <c r="E56" s="15">
        <v>0</v>
      </c>
      <c r="F56" s="15">
        <v>0</v>
      </c>
      <c r="G56" s="16">
        <f>IF(AND(F65&lt;&gt;1315005,0&lt;&gt;0),IF(100*0/(F65-1315005)&lt;0.005,"*",100*0/(F65-1315005)),0)</f>
        <v>0</v>
      </c>
    </row>
    <row r="57" spans="1:7" x14ac:dyDescent="0.2">
      <c r="A57" s="9" t="s">
        <v>145</v>
      </c>
      <c r="B57" s="15">
        <v>33</v>
      </c>
      <c r="C57" s="15">
        <v>0</v>
      </c>
      <c r="D57" s="15">
        <v>0</v>
      </c>
      <c r="E57" s="15">
        <v>0</v>
      </c>
      <c r="F57" s="15">
        <v>0</v>
      </c>
      <c r="G57" s="16">
        <f>IF(AND(F65&lt;&gt;1315005,0&lt;&gt;0),IF(100*0/(F65-1315005)&lt;0.005,"*",100*0/(F65-1315005)),0)</f>
        <v>0</v>
      </c>
    </row>
    <row r="58" spans="1:7" x14ac:dyDescent="0.2">
      <c r="A58" s="9" t="s">
        <v>146</v>
      </c>
      <c r="B58" s="15">
        <v>265</v>
      </c>
      <c r="C58" s="15">
        <v>0</v>
      </c>
      <c r="D58" s="15">
        <v>0</v>
      </c>
      <c r="E58" s="15">
        <v>0</v>
      </c>
      <c r="F58" s="15">
        <v>0</v>
      </c>
      <c r="G58" s="16">
        <f>IF(AND(F65&lt;&gt;1315005,0&lt;&gt;0),IF(100*0/(F65-1315005)&lt;0.005,"*",100*0/(F65-1315005)),0)</f>
        <v>0</v>
      </c>
    </row>
    <row r="59" spans="1:7" x14ac:dyDescent="0.2">
      <c r="A59" s="9" t="s">
        <v>147</v>
      </c>
      <c r="B59" s="15">
        <v>65</v>
      </c>
      <c r="C59" s="15">
        <v>0</v>
      </c>
      <c r="D59" s="15">
        <v>0</v>
      </c>
      <c r="E59" s="15">
        <v>0</v>
      </c>
      <c r="F59" s="15">
        <v>0</v>
      </c>
      <c r="G59" s="16">
        <f>IF(AND(F65&lt;&gt;1315005,0&lt;&gt;0),IF(100*0/(F65-1315005)&lt;0.005,"*",100*0/(F65-1315005)),0)</f>
        <v>0</v>
      </c>
    </row>
    <row r="60" spans="1:7" x14ac:dyDescent="0.2">
      <c r="A60" s="9" t="s">
        <v>148</v>
      </c>
      <c r="B60" s="15">
        <v>50566</v>
      </c>
      <c r="C60" s="15">
        <v>0</v>
      </c>
      <c r="D60" s="15">
        <v>0</v>
      </c>
      <c r="E60" s="15">
        <v>0</v>
      </c>
      <c r="F60" s="15">
        <v>0</v>
      </c>
      <c r="G60" s="16">
        <f>IF(AND(F65&lt;&gt;1315005,0&lt;&gt;0),IF(100*0/(F65-1315005)&lt;0.005,"*",100*0/(F65-1315005)),0)</f>
        <v>0</v>
      </c>
    </row>
    <row r="61" spans="1:7" x14ac:dyDescent="0.2">
      <c r="A61" s="9" t="s">
        <v>149</v>
      </c>
      <c r="B61" s="15">
        <v>103</v>
      </c>
      <c r="C61" s="15">
        <v>0</v>
      </c>
      <c r="D61" s="15">
        <v>0</v>
      </c>
      <c r="E61" s="15">
        <v>0</v>
      </c>
      <c r="F61" s="15">
        <v>0</v>
      </c>
      <c r="G61" s="16">
        <f>IF(AND(F65&lt;&gt;1315005,0&lt;&gt;0),IF(100*0/(F65-1315005)&lt;0.005,"*",100*0/(F65-1315005)),0)</f>
        <v>0</v>
      </c>
    </row>
    <row r="62" spans="1:7" x14ac:dyDescent="0.2">
      <c r="A62" s="9" t="s">
        <v>150</v>
      </c>
      <c r="B62" s="15">
        <v>1677</v>
      </c>
      <c r="C62" s="15">
        <v>0</v>
      </c>
      <c r="D62" s="15">
        <v>0</v>
      </c>
      <c r="E62" s="15">
        <v>0</v>
      </c>
      <c r="F62" s="15">
        <v>0</v>
      </c>
      <c r="G62" s="16">
        <f>IF(AND(F65&lt;&gt;1315005,0&lt;&gt;0),IF(100*0/(F65-1315005)&lt;0.005,"*",100*0/(F65-1315005)),0)</f>
        <v>0</v>
      </c>
    </row>
    <row r="63" spans="1:7" x14ac:dyDescent="0.2">
      <c r="A63" s="9" t="s">
        <v>151</v>
      </c>
      <c r="B63" s="15">
        <v>0</v>
      </c>
      <c r="C63" s="15">
        <v>0</v>
      </c>
      <c r="D63" s="15">
        <v>0</v>
      </c>
      <c r="E63" s="15">
        <v>0</v>
      </c>
      <c r="F63" s="15">
        <v>0</v>
      </c>
      <c r="G63" s="16">
        <f>IF(AND(F65&lt;&gt;1315005,0&lt;&gt;0),IF(100*0/(F65-1315005)&lt;0.005,"*",100*0/(F65-1315005)),0)</f>
        <v>0</v>
      </c>
    </row>
    <row r="64" spans="1:7" ht="15" x14ac:dyDescent="0.2">
      <c r="A64" s="9" t="s">
        <v>152</v>
      </c>
      <c r="B64" s="15">
        <v>0</v>
      </c>
      <c r="C64" s="15">
        <v>0</v>
      </c>
      <c r="D64" s="21" t="s">
        <v>220</v>
      </c>
      <c r="E64" s="15">
        <v>1312486</v>
      </c>
      <c r="F64" s="21" t="s">
        <v>221</v>
      </c>
      <c r="G64" s="16">
        <v>0</v>
      </c>
    </row>
    <row r="65" spans="1:7" ht="15" customHeight="1" x14ac:dyDescent="0.2">
      <c r="A65" s="17" t="s">
        <v>93</v>
      </c>
      <c r="B65" s="18">
        <f>31458+1506+16114+7976+174964+13207+11598+4924+10231+142523+68638+3818+5961+42977+26484+14089+3635+9791+24121+3448+35166+26589+18826+10821+17511+14465+2326+4192+9117+1478+41846+4278+169443+41593+902+24872+8557+6037+39338+6251+36589+940+28274+95267+7487+907+37350+13871+2451+11151+753+33+265+65+50566+103+1677+0+0+0</f>
        <v>1388820</v>
      </c>
      <c r="C65" s="18">
        <f>0+0+0+0+0+0+0+0+0+0+0+0+0+0+0+0+0+0+0+0+0+0+0+0+0+0+0+0+0+0+0+0+0+0+0+0+0+0+0+0+0+0+0+0+0+0+0+0+0+0+0+0+0+0+0+0+0+0+0+0</f>
        <v>0</v>
      </c>
      <c r="D65" s="18">
        <f>0+0+0+0+0+0+0+0+0+0+0+0+0+0+0+0+0+0+0+0+0+0+0+0+0+0+0+0+0+0+0+0+0+0+0+0+0+0+0+0+0+0+0+0+0+0+0+0+0+0+0+0+0+0+0+0+0+0+1312486+0</f>
        <v>1312486</v>
      </c>
      <c r="E65" s="18">
        <f>SUM(C65:D65)</f>
        <v>1312486</v>
      </c>
      <c r="F65" s="18">
        <f>0+0+0+0+0+0+0+0+0+0+0+0+0+0+0+0+0+0+0+0+0+0+0+0+0+0+0+0+0+0+0+0+0+0+0+0+0+0+0+0+0+0+0+0+0+0+0+0+0+0+0+0+0+0+0+0+0+0+1315005+0</f>
        <v>1315005</v>
      </c>
      <c r="G65" s="19" t="s">
        <v>193</v>
      </c>
    </row>
    <row r="66" spans="1:7" ht="15" customHeight="1" x14ac:dyDescent="0.2">
      <c r="A66" s="66" t="s">
        <v>222</v>
      </c>
      <c r="B66" s="66"/>
      <c r="C66" s="66"/>
      <c r="D66" s="66"/>
      <c r="E66" s="66"/>
      <c r="F66" s="66"/>
      <c r="G66" s="66"/>
    </row>
    <row r="67" spans="1:7" ht="15" customHeight="1" x14ac:dyDescent="0.2">
      <c r="A67" s="66" t="s">
        <v>223</v>
      </c>
      <c r="B67" s="66"/>
      <c r="C67" s="66"/>
      <c r="D67" s="66"/>
      <c r="E67" s="66"/>
      <c r="F67" s="66"/>
      <c r="G67" s="66"/>
    </row>
    <row r="68" spans="1:7" ht="15" customHeight="1" x14ac:dyDescent="0.2">
      <c r="A68" s="66" t="s">
        <v>196</v>
      </c>
      <c r="B68" s="66"/>
      <c r="C68" s="66"/>
      <c r="D68" s="66"/>
      <c r="E68" s="66"/>
      <c r="F68" s="66"/>
      <c r="G68" s="66"/>
    </row>
  </sheetData>
  <mergeCells count="7">
    <mergeCell ref="A67:G67"/>
    <mergeCell ref="A68:G68"/>
    <mergeCell ref="A4:A5"/>
    <mergeCell ref="B4:B5"/>
    <mergeCell ref="F4:F5"/>
    <mergeCell ref="G4:G5"/>
    <mergeCell ref="A66:G66"/>
  </mergeCells>
  <pageMargins left="0.7" right="0.7" top="0.75" bottom="0.75" header="0.3" footer="0.3"/>
  <pageSetup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0" t="s">
        <v>224</v>
      </c>
      <c r="B1" s="8"/>
      <c r="C1" s="8"/>
      <c r="D1" s="8"/>
      <c r="E1" s="8"/>
      <c r="F1" s="8"/>
      <c r="G1" s="10" t="s">
        <v>225</v>
      </c>
    </row>
    <row r="2" spans="1:7" x14ac:dyDescent="0.2">
      <c r="A2" s="11" t="s">
        <v>226</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ht="15" x14ac:dyDescent="0.2">
      <c r="A6" s="9" t="s">
        <v>94</v>
      </c>
      <c r="B6" s="21" t="s">
        <v>227</v>
      </c>
      <c r="C6" s="15">
        <v>0</v>
      </c>
      <c r="D6" s="15">
        <v>0</v>
      </c>
      <c r="E6" s="15">
        <v>0</v>
      </c>
      <c r="F6" s="15">
        <v>0</v>
      </c>
      <c r="G6" s="16">
        <f>IF(AND(F65&lt;&gt;0,0&lt;&gt;0),IF(100*0/(F65-0)&lt;0.005,"*",100*0/(F65-0)),0)</f>
        <v>0</v>
      </c>
    </row>
    <row r="7" spans="1:7" ht="15" x14ac:dyDescent="0.2">
      <c r="A7" s="9" t="s">
        <v>95</v>
      </c>
      <c r="B7" s="21" t="s">
        <v>228</v>
      </c>
      <c r="C7" s="15">
        <v>0</v>
      </c>
      <c r="D7" s="15">
        <v>0</v>
      </c>
      <c r="E7" s="15">
        <v>0</v>
      </c>
      <c r="F7" s="15">
        <v>0</v>
      </c>
      <c r="G7" s="16">
        <f>IF(AND(F65&lt;&gt;0,0&lt;&gt;0),IF(100*0/(F65-0)&lt;0.005,"*",100*0/(F65-0)),0)</f>
        <v>0</v>
      </c>
    </row>
    <row r="8" spans="1:7" ht="15" x14ac:dyDescent="0.2">
      <c r="A8" s="9" t="s">
        <v>96</v>
      </c>
      <c r="B8" s="21" t="s">
        <v>229</v>
      </c>
      <c r="C8" s="15">
        <v>0</v>
      </c>
      <c r="D8" s="15">
        <v>0</v>
      </c>
      <c r="E8" s="15">
        <v>0</v>
      </c>
      <c r="F8" s="15">
        <v>0</v>
      </c>
      <c r="G8" s="16">
        <f>IF(AND(F65&lt;&gt;0,0&lt;&gt;0),IF(100*0/(F65-0)&lt;0.005,"*",100*0/(F65-0)),0)</f>
        <v>0</v>
      </c>
    </row>
    <row r="9" spans="1:7" ht="15" x14ac:dyDescent="0.2">
      <c r="A9" s="9" t="s">
        <v>97</v>
      </c>
      <c r="B9" s="21" t="s">
        <v>230</v>
      </c>
      <c r="C9" s="15">
        <v>0</v>
      </c>
      <c r="D9" s="15">
        <v>0</v>
      </c>
      <c r="E9" s="15">
        <v>0</v>
      </c>
      <c r="F9" s="15">
        <v>0</v>
      </c>
      <c r="G9" s="16">
        <f>IF(AND(F65&lt;&gt;0,0&lt;&gt;0),IF(100*0/(F65-0)&lt;0.005,"*",100*0/(F65-0)),0)</f>
        <v>0</v>
      </c>
    </row>
    <row r="10" spans="1:7" ht="15" x14ac:dyDescent="0.2">
      <c r="A10" s="9" t="s">
        <v>98</v>
      </c>
      <c r="B10" s="21" t="s">
        <v>231</v>
      </c>
      <c r="C10" s="15">
        <v>0</v>
      </c>
      <c r="D10" s="15">
        <v>0</v>
      </c>
      <c r="E10" s="15">
        <v>0</v>
      </c>
      <c r="F10" s="15">
        <v>0</v>
      </c>
      <c r="G10" s="16">
        <f>IF(AND(F65&lt;&gt;0,0&lt;&gt;0),IF(100*0/(F65-0)&lt;0.005,"*",100*0/(F65-0)),0)</f>
        <v>0</v>
      </c>
    </row>
    <row r="11" spans="1:7" ht="15" x14ac:dyDescent="0.2">
      <c r="A11" s="9" t="s">
        <v>99</v>
      </c>
      <c r="B11" s="21" t="s">
        <v>232</v>
      </c>
      <c r="C11" s="15">
        <v>0</v>
      </c>
      <c r="D11" s="15">
        <v>0</v>
      </c>
      <c r="E11" s="15">
        <v>0</v>
      </c>
      <c r="F11" s="15">
        <v>0</v>
      </c>
      <c r="G11" s="16">
        <f>IF(AND(F65&lt;&gt;0,0&lt;&gt;0),IF(100*0/(F65-0)&lt;0.005,"*",100*0/(F65-0)),0)</f>
        <v>0</v>
      </c>
    </row>
    <row r="12" spans="1:7" ht="15" x14ac:dyDescent="0.2">
      <c r="A12" s="9" t="s">
        <v>100</v>
      </c>
      <c r="B12" s="21" t="s">
        <v>233</v>
      </c>
      <c r="C12" s="15">
        <v>0</v>
      </c>
      <c r="D12" s="15">
        <v>0</v>
      </c>
      <c r="E12" s="15">
        <v>0</v>
      </c>
      <c r="F12" s="15">
        <v>0</v>
      </c>
      <c r="G12" s="16">
        <f>IF(AND(F65&lt;&gt;0,0&lt;&gt;0),IF(100*0/(F65-0)&lt;0.005,"*",100*0/(F65-0)),0)</f>
        <v>0</v>
      </c>
    </row>
    <row r="13" spans="1:7" ht="15" x14ac:dyDescent="0.2">
      <c r="A13" s="9" t="s">
        <v>101</v>
      </c>
      <c r="B13" s="21" t="s">
        <v>234</v>
      </c>
      <c r="C13" s="15">
        <v>0</v>
      </c>
      <c r="D13" s="15">
        <v>0</v>
      </c>
      <c r="E13" s="15">
        <v>0</v>
      </c>
      <c r="F13" s="15">
        <v>0</v>
      </c>
      <c r="G13" s="16">
        <f>IF(AND(F65&lt;&gt;0,0&lt;&gt;0),IF(100*0/(F65-0)&lt;0.005,"*",100*0/(F65-0)),0)</f>
        <v>0</v>
      </c>
    </row>
    <row r="14" spans="1:7" ht="15" x14ac:dyDescent="0.2">
      <c r="A14" s="9" t="s">
        <v>102</v>
      </c>
      <c r="B14" s="21" t="s">
        <v>235</v>
      </c>
      <c r="C14" s="15">
        <v>0</v>
      </c>
      <c r="D14" s="15">
        <v>0</v>
      </c>
      <c r="E14" s="15">
        <v>0</v>
      </c>
      <c r="F14" s="15">
        <v>0</v>
      </c>
      <c r="G14" s="16">
        <f>IF(AND(F65&lt;&gt;0,0&lt;&gt;0),IF(100*0/(F65-0)&lt;0.005,"*",100*0/(F65-0)),0)</f>
        <v>0</v>
      </c>
    </row>
    <row r="15" spans="1:7" ht="15" x14ac:dyDescent="0.2">
      <c r="A15" s="9" t="s">
        <v>103</v>
      </c>
      <c r="B15" s="21" t="s">
        <v>236</v>
      </c>
      <c r="C15" s="15">
        <v>0</v>
      </c>
      <c r="D15" s="15">
        <v>0</v>
      </c>
      <c r="E15" s="15">
        <v>0</v>
      </c>
      <c r="F15" s="15">
        <v>0</v>
      </c>
      <c r="G15" s="16">
        <f>IF(AND(F65&lt;&gt;0,0&lt;&gt;0),IF(100*0/(F65-0)&lt;0.005,"*",100*0/(F65-0)),0)</f>
        <v>0</v>
      </c>
    </row>
    <row r="16" spans="1:7" ht="15" x14ac:dyDescent="0.2">
      <c r="A16" s="9" t="s">
        <v>104</v>
      </c>
      <c r="B16" s="21" t="s">
        <v>237</v>
      </c>
      <c r="C16" s="15">
        <v>0</v>
      </c>
      <c r="D16" s="15">
        <v>0</v>
      </c>
      <c r="E16" s="15">
        <v>0</v>
      </c>
      <c r="F16" s="15">
        <v>0</v>
      </c>
      <c r="G16" s="16">
        <f>IF(AND(F65&lt;&gt;0,0&lt;&gt;0),IF(100*0/(F65-0)&lt;0.005,"*",100*0/(F65-0)),0)</f>
        <v>0</v>
      </c>
    </row>
    <row r="17" spans="1:7" ht="15" x14ac:dyDescent="0.2">
      <c r="A17" s="9" t="s">
        <v>105</v>
      </c>
      <c r="B17" s="21" t="s">
        <v>238</v>
      </c>
      <c r="C17" s="15">
        <v>0</v>
      </c>
      <c r="D17" s="15">
        <v>0</v>
      </c>
      <c r="E17" s="15">
        <v>0</v>
      </c>
      <c r="F17" s="15">
        <v>0</v>
      </c>
      <c r="G17" s="16">
        <f>IF(AND(F65&lt;&gt;0,0&lt;&gt;0),IF(100*0/(F65-0)&lt;0.005,"*",100*0/(F65-0)),0)</f>
        <v>0</v>
      </c>
    </row>
    <row r="18" spans="1:7" ht="15" x14ac:dyDescent="0.2">
      <c r="A18" s="9" t="s">
        <v>106</v>
      </c>
      <c r="B18" s="21" t="s">
        <v>239</v>
      </c>
      <c r="C18" s="15">
        <v>0</v>
      </c>
      <c r="D18" s="15">
        <v>0</v>
      </c>
      <c r="E18" s="15">
        <v>0</v>
      </c>
      <c r="F18" s="15">
        <v>0</v>
      </c>
      <c r="G18" s="16">
        <f>IF(AND(F65&lt;&gt;0,0&lt;&gt;0),IF(100*0/(F65-0)&lt;0.005,"*",100*0/(F65-0)),0)</f>
        <v>0</v>
      </c>
    </row>
    <row r="19" spans="1:7" ht="15" x14ac:dyDescent="0.2">
      <c r="A19" s="9" t="s">
        <v>107</v>
      </c>
      <c r="B19" s="21" t="s">
        <v>240</v>
      </c>
      <c r="C19" s="15">
        <v>0</v>
      </c>
      <c r="D19" s="15">
        <v>0</v>
      </c>
      <c r="E19" s="15">
        <v>0</v>
      </c>
      <c r="F19" s="15">
        <v>0</v>
      </c>
      <c r="G19" s="16">
        <f>IF(AND(F65&lt;&gt;0,0&lt;&gt;0),IF(100*0/(F65-0)&lt;0.005,"*",100*0/(F65-0)),0)</f>
        <v>0</v>
      </c>
    </row>
    <row r="20" spans="1:7" ht="15" x14ac:dyDescent="0.2">
      <c r="A20" s="9" t="s">
        <v>108</v>
      </c>
      <c r="B20" s="21" t="s">
        <v>241</v>
      </c>
      <c r="C20" s="15">
        <v>0</v>
      </c>
      <c r="D20" s="15">
        <v>0</v>
      </c>
      <c r="E20" s="15">
        <v>0</v>
      </c>
      <c r="F20" s="15">
        <v>0</v>
      </c>
      <c r="G20" s="16">
        <f>IF(AND(F65&lt;&gt;0,0&lt;&gt;0),IF(100*0/(F65-0)&lt;0.005,"*",100*0/(F65-0)),0)</f>
        <v>0</v>
      </c>
    </row>
    <row r="21" spans="1:7" ht="15" x14ac:dyDescent="0.2">
      <c r="A21" s="9" t="s">
        <v>109</v>
      </c>
      <c r="B21" s="21" t="s">
        <v>242</v>
      </c>
      <c r="C21" s="15">
        <v>0</v>
      </c>
      <c r="D21" s="15">
        <v>0</v>
      </c>
      <c r="E21" s="15">
        <v>0</v>
      </c>
      <c r="F21" s="15">
        <v>0</v>
      </c>
      <c r="G21" s="16">
        <f>IF(AND(F65&lt;&gt;0,0&lt;&gt;0),IF(100*0/(F65-0)&lt;0.005,"*",100*0/(F65-0)),0)</f>
        <v>0</v>
      </c>
    </row>
    <row r="22" spans="1:7" ht="15" x14ac:dyDescent="0.2">
      <c r="A22" s="9" t="s">
        <v>110</v>
      </c>
      <c r="B22" s="21" t="s">
        <v>243</v>
      </c>
      <c r="C22" s="15">
        <v>0</v>
      </c>
      <c r="D22" s="15">
        <v>0</v>
      </c>
      <c r="E22" s="15">
        <v>0</v>
      </c>
      <c r="F22" s="15">
        <v>0</v>
      </c>
      <c r="G22" s="16">
        <f>IF(AND(F65&lt;&gt;0,0&lt;&gt;0),IF(100*0/(F65-0)&lt;0.005,"*",100*0/(F65-0)),0)</f>
        <v>0</v>
      </c>
    </row>
    <row r="23" spans="1:7" ht="15" x14ac:dyDescent="0.2">
      <c r="A23" s="9" t="s">
        <v>111</v>
      </c>
      <c r="B23" s="21" t="s">
        <v>244</v>
      </c>
      <c r="C23" s="15">
        <v>0</v>
      </c>
      <c r="D23" s="15">
        <v>0</v>
      </c>
      <c r="E23" s="15">
        <v>0</v>
      </c>
      <c r="F23" s="15">
        <v>0</v>
      </c>
      <c r="G23" s="16">
        <f>IF(AND(F65&lt;&gt;0,0&lt;&gt;0),IF(100*0/(F65-0)&lt;0.005,"*",100*0/(F65-0)),0)</f>
        <v>0</v>
      </c>
    </row>
    <row r="24" spans="1:7" ht="15" x14ac:dyDescent="0.2">
      <c r="A24" s="9" t="s">
        <v>112</v>
      </c>
      <c r="B24" s="21" t="s">
        <v>245</v>
      </c>
      <c r="C24" s="15">
        <v>0</v>
      </c>
      <c r="D24" s="15">
        <v>0</v>
      </c>
      <c r="E24" s="15">
        <v>0</v>
      </c>
      <c r="F24" s="15">
        <v>0</v>
      </c>
      <c r="G24" s="16">
        <f>IF(AND(F65&lt;&gt;0,0&lt;&gt;0),IF(100*0/(F65-0)&lt;0.005,"*",100*0/(F65-0)),0)</f>
        <v>0</v>
      </c>
    </row>
    <row r="25" spans="1:7" ht="15" x14ac:dyDescent="0.2">
      <c r="A25" s="9" t="s">
        <v>113</v>
      </c>
      <c r="B25" s="21" t="s">
        <v>246</v>
      </c>
      <c r="C25" s="15">
        <v>0</v>
      </c>
      <c r="D25" s="15">
        <v>0</v>
      </c>
      <c r="E25" s="15">
        <v>0</v>
      </c>
      <c r="F25" s="15">
        <v>0</v>
      </c>
      <c r="G25" s="16">
        <f>IF(AND(F65&lt;&gt;0,0&lt;&gt;0),IF(100*0/(F65-0)&lt;0.005,"*",100*0/(F65-0)),0)</f>
        <v>0</v>
      </c>
    </row>
    <row r="26" spans="1:7" ht="15" x14ac:dyDescent="0.2">
      <c r="A26" s="9" t="s">
        <v>114</v>
      </c>
      <c r="B26" s="21" t="s">
        <v>247</v>
      </c>
      <c r="C26" s="15">
        <v>0</v>
      </c>
      <c r="D26" s="15">
        <v>0</v>
      </c>
      <c r="E26" s="15">
        <v>0</v>
      </c>
      <c r="F26" s="15">
        <v>0</v>
      </c>
      <c r="G26" s="16">
        <f>IF(AND(F65&lt;&gt;0,0&lt;&gt;0),IF(100*0/(F65-0)&lt;0.005,"*",100*0/(F65-0)),0)</f>
        <v>0</v>
      </c>
    </row>
    <row r="27" spans="1:7" ht="15" x14ac:dyDescent="0.2">
      <c r="A27" s="9" t="s">
        <v>115</v>
      </c>
      <c r="B27" s="21" t="s">
        <v>248</v>
      </c>
      <c r="C27" s="15">
        <v>0</v>
      </c>
      <c r="D27" s="15">
        <v>0</v>
      </c>
      <c r="E27" s="15">
        <v>0</v>
      </c>
      <c r="F27" s="15">
        <v>0</v>
      </c>
      <c r="G27" s="16">
        <f>IF(AND(F65&lt;&gt;0,0&lt;&gt;0),IF(100*0/(F65-0)&lt;0.005,"*",100*0/(F65-0)),0)</f>
        <v>0</v>
      </c>
    </row>
    <row r="28" spans="1:7" ht="15" x14ac:dyDescent="0.2">
      <c r="A28" s="9" t="s">
        <v>116</v>
      </c>
      <c r="B28" s="21" t="s">
        <v>249</v>
      </c>
      <c r="C28" s="15">
        <v>0</v>
      </c>
      <c r="D28" s="15">
        <v>0</v>
      </c>
      <c r="E28" s="15">
        <v>0</v>
      </c>
      <c r="F28" s="15">
        <v>0</v>
      </c>
      <c r="G28" s="16">
        <f>IF(AND(F65&lt;&gt;0,0&lt;&gt;0),IF(100*0/(F65-0)&lt;0.005,"*",100*0/(F65-0)),0)</f>
        <v>0</v>
      </c>
    </row>
    <row r="29" spans="1:7" ht="15" x14ac:dyDescent="0.2">
      <c r="A29" s="9" t="s">
        <v>117</v>
      </c>
      <c r="B29" s="21" t="s">
        <v>250</v>
      </c>
      <c r="C29" s="15">
        <v>0</v>
      </c>
      <c r="D29" s="15">
        <v>0</v>
      </c>
      <c r="E29" s="15">
        <v>0</v>
      </c>
      <c r="F29" s="15">
        <v>0</v>
      </c>
      <c r="G29" s="16">
        <f>IF(AND(F65&lt;&gt;0,0&lt;&gt;0),IF(100*0/(F65-0)&lt;0.005,"*",100*0/(F65-0)),0)</f>
        <v>0</v>
      </c>
    </row>
    <row r="30" spans="1:7" ht="15" x14ac:dyDescent="0.2">
      <c r="A30" s="9" t="s">
        <v>118</v>
      </c>
      <c r="B30" s="21" t="s">
        <v>251</v>
      </c>
      <c r="C30" s="15">
        <v>0</v>
      </c>
      <c r="D30" s="15">
        <v>0</v>
      </c>
      <c r="E30" s="15">
        <v>0</v>
      </c>
      <c r="F30" s="15">
        <v>0</v>
      </c>
      <c r="G30" s="16">
        <f>IF(AND(F65&lt;&gt;0,0&lt;&gt;0),IF(100*0/(F65-0)&lt;0.005,"*",100*0/(F65-0)),0)</f>
        <v>0</v>
      </c>
    </row>
    <row r="31" spans="1:7" ht="15" x14ac:dyDescent="0.2">
      <c r="A31" s="9" t="s">
        <v>119</v>
      </c>
      <c r="B31" s="21" t="s">
        <v>252</v>
      </c>
      <c r="C31" s="15">
        <v>0</v>
      </c>
      <c r="D31" s="15">
        <v>0</v>
      </c>
      <c r="E31" s="15">
        <v>0</v>
      </c>
      <c r="F31" s="15">
        <v>0</v>
      </c>
      <c r="G31" s="16">
        <f>IF(AND(F65&lt;&gt;0,0&lt;&gt;0),IF(100*0/(F65-0)&lt;0.005,"*",100*0/(F65-0)),0)</f>
        <v>0</v>
      </c>
    </row>
    <row r="32" spans="1:7" ht="15" x14ac:dyDescent="0.2">
      <c r="A32" s="9" t="s">
        <v>120</v>
      </c>
      <c r="B32" s="21" t="s">
        <v>253</v>
      </c>
      <c r="C32" s="15">
        <v>0</v>
      </c>
      <c r="D32" s="15">
        <v>0</v>
      </c>
      <c r="E32" s="15">
        <v>0</v>
      </c>
      <c r="F32" s="15">
        <v>0</v>
      </c>
      <c r="G32" s="16">
        <f>IF(AND(F65&lt;&gt;0,0&lt;&gt;0),IF(100*0/(F65-0)&lt;0.005,"*",100*0/(F65-0)),0)</f>
        <v>0</v>
      </c>
    </row>
    <row r="33" spans="1:7" ht="15" x14ac:dyDescent="0.2">
      <c r="A33" s="9" t="s">
        <v>121</v>
      </c>
      <c r="B33" s="21" t="s">
        <v>254</v>
      </c>
      <c r="C33" s="15">
        <v>0</v>
      </c>
      <c r="D33" s="15">
        <v>0</v>
      </c>
      <c r="E33" s="15">
        <v>0</v>
      </c>
      <c r="F33" s="15">
        <v>0</v>
      </c>
      <c r="G33" s="16">
        <f>IF(AND(F65&lt;&gt;0,0&lt;&gt;0),IF(100*0/(F65-0)&lt;0.005,"*",100*0/(F65-0)),0)</f>
        <v>0</v>
      </c>
    </row>
    <row r="34" spans="1:7" ht="15" x14ac:dyDescent="0.2">
      <c r="A34" s="9" t="s">
        <v>122</v>
      </c>
      <c r="B34" s="21" t="s">
        <v>255</v>
      </c>
      <c r="C34" s="15">
        <v>0</v>
      </c>
      <c r="D34" s="15">
        <v>0</v>
      </c>
      <c r="E34" s="15">
        <v>0</v>
      </c>
      <c r="F34" s="15">
        <v>0</v>
      </c>
      <c r="G34" s="16">
        <f>IF(AND(F65&lt;&gt;0,0&lt;&gt;0),IF(100*0/(F65-0)&lt;0.005,"*",100*0/(F65-0)),0)</f>
        <v>0</v>
      </c>
    </row>
    <row r="35" spans="1:7" ht="15" x14ac:dyDescent="0.2">
      <c r="A35" s="9" t="s">
        <v>123</v>
      </c>
      <c r="B35" s="21" t="s">
        <v>256</v>
      </c>
      <c r="C35" s="15">
        <v>0</v>
      </c>
      <c r="D35" s="15">
        <v>0</v>
      </c>
      <c r="E35" s="15">
        <v>0</v>
      </c>
      <c r="F35" s="15">
        <v>0</v>
      </c>
      <c r="G35" s="16">
        <f>IF(AND(F65&lt;&gt;0,0&lt;&gt;0),IF(100*0/(F65-0)&lt;0.005,"*",100*0/(F65-0)),0)</f>
        <v>0</v>
      </c>
    </row>
    <row r="36" spans="1:7" ht="15" x14ac:dyDescent="0.2">
      <c r="A36" s="9" t="s">
        <v>124</v>
      </c>
      <c r="B36" s="21" t="s">
        <v>257</v>
      </c>
      <c r="C36" s="15">
        <v>0</v>
      </c>
      <c r="D36" s="15">
        <v>0</v>
      </c>
      <c r="E36" s="15">
        <v>0</v>
      </c>
      <c r="F36" s="15">
        <v>0</v>
      </c>
      <c r="G36" s="16">
        <f>IF(AND(F65&lt;&gt;0,0&lt;&gt;0),IF(100*0/(F65-0)&lt;0.005,"*",100*0/(F65-0)),0)</f>
        <v>0</v>
      </c>
    </row>
    <row r="37" spans="1:7" ht="15" x14ac:dyDescent="0.2">
      <c r="A37" s="9" t="s">
        <v>125</v>
      </c>
      <c r="B37" s="21" t="s">
        <v>258</v>
      </c>
      <c r="C37" s="15">
        <v>0</v>
      </c>
      <c r="D37" s="15">
        <v>0</v>
      </c>
      <c r="E37" s="15">
        <v>0</v>
      </c>
      <c r="F37" s="15">
        <v>0</v>
      </c>
      <c r="G37" s="16">
        <f>IF(AND(F65&lt;&gt;0,0&lt;&gt;0),IF(100*0/(F65-0)&lt;0.005,"*",100*0/(F65-0)),0)</f>
        <v>0</v>
      </c>
    </row>
    <row r="38" spans="1:7" ht="15" x14ac:dyDescent="0.2">
      <c r="A38" s="9" t="s">
        <v>126</v>
      </c>
      <c r="B38" s="21" t="s">
        <v>259</v>
      </c>
      <c r="C38" s="15">
        <v>0</v>
      </c>
      <c r="D38" s="15">
        <v>0</v>
      </c>
      <c r="E38" s="15">
        <v>0</v>
      </c>
      <c r="F38" s="15">
        <v>0</v>
      </c>
      <c r="G38" s="16">
        <f>IF(AND(F65&lt;&gt;0,0&lt;&gt;0),IF(100*0/(F65-0)&lt;0.005,"*",100*0/(F65-0)),0)</f>
        <v>0</v>
      </c>
    </row>
    <row r="39" spans="1:7" ht="15" x14ac:dyDescent="0.2">
      <c r="A39" s="9" t="s">
        <v>127</v>
      </c>
      <c r="B39" s="21" t="s">
        <v>260</v>
      </c>
      <c r="C39" s="15">
        <v>0</v>
      </c>
      <c r="D39" s="15">
        <v>0</v>
      </c>
      <c r="E39" s="15">
        <v>0</v>
      </c>
      <c r="F39" s="15">
        <v>0</v>
      </c>
      <c r="G39" s="16">
        <f>IF(AND(F65&lt;&gt;0,0&lt;&gt;0),IF(100*0/(F65-0)&lt;0.005,"*",100*0/(F65-0)),0)</f>
        <v>0</v>
      </c>
    </row>
    <row r="40" spans="1:7" ht="15" x14ac:dyDescent="0.2">
      <c r="A40" s="9" t="s">
        <v>128</v>
      </c>
      <c r="B40" s="21" t="s">
        <v>261</v>
      </c>
      <c r="C40" s="15">
        <v>0</v>
      </c>
      <c r="D40" s="15">
        <v>0</v>
      </c>
      <c r="E40" s="15">
        <v>0</v>
      </c>
      <c r="F40" s="15">
        <v>0</v>
      </c>
      <c r="G40" s="16">
        <f>IF(AND(F65&lt;&gt;0,0&lt;&gt;0),IF(100*0/(F65-0)&lt;0.005,"*",100*0/(F65-0)),0)</f>
        <v>0</v>
      </c>
    </row>
    <row r="41" spans="1:7" ht="15" x14ac:dyDescent="0.2">
      <c r="A41" s="9" t="s">
        <v>129</v>
      </c>
      <c r="B41" s="21" t="s">
        <v>262</v>
      </c>
      <c r="C41" s="15">
        <v>0</v>
      </c>
      <c r="D41" s="15">
        <v>0</v>
      </c>
      <c r="E41" s="15">
        <v>0</v>
      </c>
      <c r="F41" s="15">
        <v>0</v>
      </c>
      <c r="G41" s="16">
        <f>IF(AND(F65&lt;&gt;0,0&lt;&gt;0),IF(100*0/(F65-0)&lt;0.005,"*",100*0/(F65-0)),0)</f>
        <v>0</v>
      </c>
    </row>
    <row r="42" spans="1:7" ht="15" x14ac:dyDescent="0.2">
      <c r="A42" s="9" t="s">
        <v>130</v>
      </c>
      <c r="B42" s="21" t="s">
        <v>263</v>
      </c>
      <c r="C42" s="15">
        <v>0</v>
      </c>
      <c r="D42" s="15">
        <v>0</v>
      </c>
      <c r="E42" s="15">
        <v>0</v>
      </c>
      <c r="F42" s="15">
        <v>0</v>
      </c>
      <c r="G42" s="16">
        <f>IF(AND(F65&lt;&gt;0,0&lt;&gt;0),IF(100*0/(F65-0)&lt;0.005,"*",100*0/(F65-0)),0)</f>
        <v>0</v>
      </c>
    </row>
    <row r="43" spans="1:7" ht="15" x14ac:dyDescent="0.2">
      <c r="A43" s="9" t="s">
        <v>131</v>
      </c>
      <c r="B43" s="21" t="s">
        <v>264</v>
      </c>
      <c r="C43" s="15">
        <v>0</v>
      </c>
      <c r="D43" s="15">
        <v>0</v>
      </c>
      <c r="E43" s="15">
        <v>0</v>
      </c>
      <c r="F43" s="15">
        <v>0</v>
      </c>
      <c r="G43" s="16">
        <f>IF(AND(F65&lt;&gt;0,0&lt;&gt;0),IF(100*0/(F65-0)&lt;0.005,"*",100*0/(F65-0)),0)</f>
        <v>0</v>
      </c>
    </row>
    <row r="44" spans="1:7" ht="15" x14ac:dyDescent="0.2">
      <c r="A44" s="9" t="s">
        <v>132</v>
      </c>
      <c r="B44" s="21" t="s">
        <v>265</v>
      </c>
      <c r="C44" s="15">
        <v>0</v>
      </c>
      <c r="D44" s="15">
        <v>0</v>
      </c>
      <c r="E44" s="15">
        <v>0</v>
      </c>
      <c r="F44" s="15">
        <v>0</v>
      </c>
      <c r="G44" s="16">
        <f>IF(AND(F65&lt;&gt;0,0&lt;&gt;0),IF(100*0/(F65-0)&lt;0.005,"*",100*0/(F65-0)),0)</f>
        <v>0</v>
      </c>
    </row>
    <row r="45" spans="1:7" ht="15" x14ac:dyDescent="0.2">
      <c r="A45" s="9" t="s">
        <v>133</v>
      </c>
      <c r="B45" s="21" t="s">
        <v>266</v>
      </c>
      <c r="C45" s="15">
        <v>0</v>
      </c>
      <c r="D45" s="15">
        <v>0</v>
      </c>
      <c r="E45" s="15">
        <v>0</v>
      </c>
      <c r="F45" s="15">
        <v>0</v>
      </c>
      <c r="G45" s="16">
        <f>IF(AND(F65&lt;&gt;0,0&lt;&gt;0),IF(100*0/(F65-0)&lt;0.005,"*",100*0/(F65-0)),0)</f>
        <v>0</v>
      </c>
    </row>
    <row r="46" spans="1:7" ht="15" x14ac:dyDescent="0.2">
      <c r="A46" s="9" t="s">
        <v>134</v>
      </c>
      <c r="B46" s="21" t="s">
        <v>267</v>
      </c>
      <c r="C46" s="15">
        <v>0</v>
      </c>
      <c r="D46" s="15">
        <v>0</v>
      </c>
      <c r="E46" s="15">
        <v>0</v>
      </c>
      <c r="F46" s="15">
        <v>0</v>
      </c>
      <c r="G46" s="16">
        <f>IF(AND(F65&lt;&gt;0,0&lt;&gt;0),IF(100*0/(F65-0)&lt;0.005,"*",100*0/(F65-0)),0)</f>
        <v>0</v>
      </c>
    </row>
    <row r="47" spans="1:7" ht="15" x14ac:dyDescent="0.2">
      <c r="A47" s="9" t="s">
        <v>135</v>
      </c>
      <c r="B47" s="21" t="s">
        <v>268</v>
      </c>
      <c r="C47" s="15">
        <v>0</v>
      </c>
      <c r="D47" s="15">
        <v>0</v>
      </c>
      <c r="E47" s="15">
        <v>0</v>
      </c>
      <c r="F47" s="15">
        <v>0</v>
      </c>
      <c r="G47" s="16">
        <f>IF(AND(F65&lt;&gt;0,0&lt;&gt;0),IF(100*0/(F65-0)&lt;0.005,"*",100*0/(F65-0)),0)</f>
        <v>0</v>
      </c>
    </row>
    <row r="48" spans="1:7" ht="15" x14ac:dyDescent="0.2">
      <c r="A48" s="9" t="s">
        <v>136</v>
      </c>
      <c r="B48" s="21" t="s">
        <v>269</v>
      </c>
      <c r="C48" s="15">
        <v>0</v>
      </c>
      <c r="D48" s="15">
        <v>0</v>
      </c>
      <c r="E48" s="15">
        <v>0</v>
      </c>
      <c r="F48" s="15">
        <v>0</v>
      </c>
      <c r="G48" s="16">
        <f>IF(AND(F65&lt;&gt;0,0&lt;&gt;0),IF(100*0/(F65-0)&lt;0.005,"*",100*0/(F65-0)),0)</f>
        <v>0</v>
      </c>
    </row>
    <row r="49" spans="1:7" ht="15" x14ac:dyDescent="0.2">
      <c r="A49" s="9" t="s">
        <v>137</v>
      </c>
      <c r="B49" s="21" t="s">
        <v>270</v>
      </c>
      <c r="C49" s="15">
        <v>0</v>
      </c>
      <c r="D49" s="15">
        <v>0</v>
      </c>
      <c r="E49" s="15">
        <v>0</v>
      </c>
      <c r="F49" s="15">
        <v>0</v>
      </c>
      <c r="G49" s="16">
        <f>IF(AND(F65&lt;&gt;0,0&lt;&gt;0),IF(100*0/(F65-0)&lt;0.005,"*",100*0/(F65-0)),0)</f>
        <v>0</v>
      </c>
    </row>
    <row r="50" spans="1:7" ht="15" x14ac:dyDescent="0.2">
      <c r="A50" s="9" t="s">
        <v>138</v>
      </c>
      <c r="B50" s="21" t="s">
        <v>271</v>
      </c>
      <c r="C50" s="15">
        <v>0</v>
      </c>
      <c r="D50" s="15">
        <v>0</v>
      </c>
      <c r="E50" s="15">
        <v>0</v>
      </c>
      <c r="F50" s="15">
        <v>0</v>
      </c>
      <c r="G50" s="16">
        <f>IF(AND(F65&lt;&gt;0,0&lt;&gt;0),IF(100*0/(F65-0)&lt;0.005,"*",100*0/(F65-0)),0)</f>
        <v>0</v>
      </c>
    </row>
    <row r="51" spans="1:7" ht="15" x14ac:dyDescent="0.2">
      <c r="A51" s="9" t="s">
        <v>139</v>
      </c>
      <c r="B51" s="21" t="s">
        <v>272</v>
      </c>
      <c r="C51" s="15">
        <v>0</v>
      </c>
      <c r="D51" s="15">
        <v>0</v>
      </c>
      <c r="E51" s="15">
        <v>0</v>
      </c>
      <c r="F51" s="15">
        <v>0</v>
      </c>
      <c r="G51" s="16">
        <f>IF(AND(F65&lt;&gt;0,0&lt;&gt;0),IF(100*0/(F65-0)&lt;0.005,"*",100*0/(F65-0)),0)</f>
        <v>0</v>
      </c>
    </row>
    <row r="52" spans="1:7" ht="15" x14ac:dyDescent="0.2">
      <c r="A52" s="9" t="s">
        <v>140</v>
      </c>
      <c r="B52" s="21" t="s">
        <v>273</v>
      </c>
      <c r="C52" s="15">
        <v>0</v>
      </c>
      <c r="D52" s="15">
        <v>0</v>
      </c>
      <c r="E52" s="15">
        <v>0</v>
      </c>
      <c r="F52" s="15">
        <v>0</v>
      </c>
      <c r="G52" s="16">
        <f>IF(AND(F65&lt;&gt;0,0&lt;&gt;0),IF(100*0/(F65-0)&lt;0.005,"*",100*0/(F65-0)),0)</f>
        <v>0</v>
      </c>
    </row>
    <row r="53" spans="1:7" ht="15" x14ac:dyDescent="0.2">
      <c r="A53" s="9" t="s">
        <v>141</v>
      </c>
      <c r="B53" s="21" t="s">
        <v>274</v>
      </c>
      <c r="C53" s="15">
        <v>0</v>
      </c>
      <c r="D53" s="15">
        <v>0</v>
      </c>
      <c r="E53" s="15">
        <v>0</v>
      </c>
      <c r="F53" s="15">
        <v>0</v>
      </c>
      <c r="G53" s="16">
        <f>IF(AND(F65&lt;&gt;0,0&lt;&gt;0),IF(100*0/(F65-0)&lt;0.005,"*",100*0/(F65-0)),0)</f>
        <v>0</v>
      </c>
    </row>
    <row r="54" spans="1:7" ht="15" x14ac:dyDescent="0.2">
      <c r="A54" s="9" t="s">
        <v>142</v>
      </c>
      <c r="B54" s="21" t="s">
        <v>275</v>
      </c>
      <c r="C54" s="15">
        <v>0</v>
      </c>
      <c r="D54" s="15">
        <v>0</v>
      </c>
      <c r="E54" s="15">
        <v>0</v>
      </c>
      <c r="F54" s="15">
        <v>0</v>
      </c>
      <c r="G54" s="16">
        <f>IF(AND(F65&lt;&gt;0,0&lt;&gt;0),IF(100*0/(F65-0)&lt;0.005,"*",100*0/(F65-0)),0)</f>
        <v>0</v>
      </c>
    </row>
    <row r="55" spans="1:7" ht="15" x14ac:dyDescent="0.2">
      <c r="A55" s="9" t="s">
        <v>143</v>
      </c>
      <c r="B55" s="21" t="s">
        <v>276</v>
      </c>
      <c r="C55" s="15">
        <v>0</v>
      </c>
      <c r="D55" s="15">
        <v>0</v>
      </c>
      <c r="E55" s="15">
        <v>0</v>
      </c>
      <c r="F55" s="15">
        <v>0</v>
      </c>
      <c r="G55" s="16">
        <f>IF(AND(F65&lt;&gt;0,0&lt;&gt;0),IF(100*0/(F65-0)&lt;0.005,"*",100*0/(F65-0)),0)</f>
        <v>0</v>
      </c>
    </row>
    <row r="56" spans="1:7" ht="15" x14ac:dyDescent="0.2">
      <c r="A56" s="9" t="s">
        <v>144</v>
      </c>
      <c r="B56" s="21" t="s">
        <v>277</v>
      </c>
      <c r="C56" s="15">
        <v>0</v>
      </c>
      <c r="D56" s="15">
        <v>0</v>
      </c>
      <c r="E56" s="15">
        <v>0</v>
      </c>
      <c r="F56" s="15">
        <v>0</v>
      </c>
      <c r="G56" s="16">
        <f>IF(AND(F65&lt;&gt;0,0&lt;&gt;0),IF(100*0/(F65-0)&lt;0.005,"*",100*0/(F65-0)),0)</f>
        <v>0</v>
      </c>
    </row>
    <row r="57" spans="1:7" ht="15" x14ac:dyDescent="0.2">
      <c r="A57" s="9" t="s">
        <v>145</v>
      </c>
      <c r="B57" s="21" t="s">
        <v>278</v>
      </c>
      <c r="C57" s="15">
        <v>0</v>
      </c>
      <c r="D57" s="15">
        <v>0</v>
      </c>
      <c r="E57" s="15">
        <v>0</v>
      </c>
      <c r="F57" s="15">
        <v>0</v>
      </c>
      <c r="G57" s="16">
        <f>IF(AND(F65&lt;&gt;0,0&lt;&gt;0),IF(100*0/(F65-0)&lt;0.005,"*",100*0/(F65-0)),0)</f>
        <v>0</v>
      </c>
    </row>
    <row r="58" spans="1:7" ht="15" x14ac:dyDescent="0.2">
      <c r="A58" s="9" t="s">
        <v>146</v>
      </c>
      <c r="B58" s="21" t="s">
        <v>279</v>
      </c>
      <c r="C58" s="15">
        <v>0</v>
      </c>
      <c r="D58" s="15">
        <v>0</v>
      </c>
      <c r="E58" s="15">
        <v>0</v>
      </c>
      <c r="F58" s="15">
        <v>0</v>
      </c>
      <c r="G58" s="16">
        <f>IF(AND(F65&lt;&gt;0,0&lt;&gt;0),IF(100*0/(F65-0)&lt;0.005,"*",100*0/(F65-0)),0)</f>
        <v>0</v>
      </c>
    </row>
    <row r="59" spans="1:7" ht="15" x14ac:dyDescent="0.2">
      <c r="A59" s="9" t="s">
        <v>147</v>
      </c>
      <c r="B59" s="21" t="s">
        <v>278</v>
      </c>
      <c r="C59" s="15">
        <v>0</v>
      </c>
      <c r="D59" s="15">
        <v>0</v>
      </c>
      <c r="E59" s="15">
        <v>0</v>
      </c>
      <c r="F59" s="15">
        <v>0</v>
      </c>
      <c r="G59" s="16">
        <f>IF(AND(F65&lt;&gt;0,0&lt;&gt;0),IF(100*0/(F65-0)&lt;0.005,"*",100*0/(F65-0)),0)</f>
        <v>0</v>
      </c>
    </row>
    <row r="60" spans="1:7" ht="15" x14ac:dyDescent="0.2">
      <c r="A60" s="9" t="s">
        <v>148</v>
      </c>
      <c r="B60" s="21" t="s">
        <v>280</v>
      </c>
      <c r="C60" s="15">
        <v>0</v>
      </c>
      <c r="D60" s="15">
        <v>0</v>
      </c>
      <c r="E60" s="15">
        <v>0</v>
      </c>
      <c r="F60" s="15">
        <v>0</v>
      </c>
      <c r="G60" s="16">
        <f>IF(AND(F65&lt;&gt;0,0&lt;&gt;0),IF(100*0/(F65-0)&lt;0.005,"*",100*0/(F65-0)),0)</f>
        <v>0</v>
      </c>
    </row>
    <row r="61" spans="1:7" ht="15" x14ac:dyDescent="0.2">
      <c r="A61" s="9" t="s">
        <v>149</v>
      </c>
      <c r="B61" s="21" t="s">
        <v>281</v>
      </c>
      <c r="C61" s="15">
        <v>0</v>
      </c>
      <c r="D61" s="15">
        <v>0</v>
      </c>
      <c r="E61" s="15">
        <v>0</v>
      </c>
      <c r="F61" s="15">
        <v>0</v>
      </c>
      <c r="G61" s="16">
        <f>IF(AND(F65&lt;&gt;0,0&lt;&gt;0),IF(100*0/(F65-0)&lt;0.005,"*",100*0/(F65-0)),0)</f>
        <v>0</v>
      </c>
    </row>
    <row r="62" spans="1:7" ht="15" x14ac:dyDescent="0.2">
      <c r="A62" s="9" t="s">
        <v>150</v>
      </c>
      <c r="B62" s="21" t="s">
        <v>282</v>
      </c>
      <c r="C62" s="15">
        <v>0</v>
      </c>
      <c r="D62" s="15">
        <v>0</v>
      </c>
      <c r="E62" s="15">
        <v>0</v>
      </c>
      <c r="F62" s="15">
        <v>0</v>
      </c>
      <c r="G62" s="16">
        <f>IF(AND(F65&lt;&gt;0,0&lt;&gt;0),IF(100*0/(F65-0)&lt;0.005,"*",100*0/(F65-0)),0)</f>
        <v>0</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24097+7601+38517+9749+236875+15321+14361+9179+59797+45342+24805+9072+10083+107164+17365+13721+10658+14151+13361+11443+24361+46555+33279+22891+11892+18026+10863+9067+14796+10655+47889+12631+291292+28460+8881+41953+11113+18755+75896+11856+14489+8162+16858+115271+9322+8995+23437+32875+13042+15091+7325+1908+1982+1908+10576+50+2343+0+0+0</f>
        <v>1727407</v>
      </c>
      <c r="C65" s="18">
        <f>0+0+0+0+0+0+0+0+0+0+0+0+0+0+0+0+0+0+0+0+0+0+0+0+0+0+0+0+0+0+0+0+0+0+0+0+0+0+0+0+0+0+0+0+0+0+0+0+0+0+0+0+0+0+0+0+0+0+0+0</f>
        <v>0</v>
      </c>
      <c r="D65" s="18">
        <f>0+0+0+0+0+0+0+0+0+0+0+0+0+0+0+0+0+0+0+0+0+0+0+0+0+0+0+0+0+0+0+0+0+0+0+0+0+0+0+0+0+0+0+0+0+0+0+0+0+0+0+0+0+0+0+0+0+0+0+0</f>
        <v>0</v>
      </c>
      <c r="E65" s="18">
        <f>SUM(C65:D65)</f>
        <v>0</v>
      </c>
      <c r="F65" s="18">
        <f>0+0+0+0+0+0+0+0+0+0+0+0+0+0+0+0+0+0+0+0+0+0+0+0+0+0+0+0+0+0+0+0+0+0+0+0+0+0+0+0+0+0+0+0+0+0+0+0+0+0+0+0+0+0+0+0+0+0+0+0</f>
        <v>0</v>
      </c>
      <c r="G65" s="20" t="s">
        <v>167</v>
      </c>
    </row>
    <row r="66" spans="1:7" ht="36" customHeight="1" x14ac:dyDescent="0.2">
      <c r="A66" s="66" t="s">
        <v>283</v>
      </c>
      <c r="B66" s="66"/>
      <c r="C66" s="66"/>
      <c r="D66" s="66"/>
      <c r="E66" s="66"/>
      <c r="F66" s="66"/>
      <c r="G66" s="66"/>
    </row>
    <row r="67" spans="1:7" ht="15" customHeight="1" x14ac:dyDescent="0.2">
      <c r="A67" s="66" t="s">
        <v>284</v>
      </c>
      <c r="B67" s="66"/>
      <c r="C67" s="66"/>
      <c r="D67" s="66"/>
      <c r="E67" s="66"/>
      <c r="F67" s="66"/>
      <c r="G67" s="66"/>
    </row>
  </sheetData>
  <mergeCells count="6">
    <mergeCell ref="A67:G67"/>
    <mergeCell ref="A4:A5"/>
    <mergeCell ref="B4:B5"/>
    <mergeCell ref="F4:F5"/>
    <mergeCell ref="G4:G5"/>
    <mergeCell ref="A66:G66"/>
  </mergeCells>
  <pageMargins left="0.7" right="0.7" top="0.75" bottom="0.75" header="0.3" footer="0.3"/>
  <pageSetup scale="6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0" t="s">
        <v>285</v>
      </c>
      <c r="B1" s="8"/>
      <c r="C1" s="8"/>
      <c r="D1" s="8"/>
      <c r="E1" s="8"/>
      <c r="F1" s="8"/>
      <c r="G1" s="10" t="s">
        <v>286</v>
      </c>
    </row>
    <row r="2" spans="1:7" x14ac:dyDescent="0.2">
      <c r="A2" s="11" t="s">
        <v>287</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64421</v>
      </c>
      <c r="C6" s="15">
        <v>3820</v>
      </c>
      <c r="D6" s="15">
        <v>41525</v>
      </c>
      <c r="E6" s="15">
        <v>45345</v>
      </c>
      <c r="F6" s="15">
        <v>1962</v>
      </c>
      <c r="G6" s="16">
        <f>IF(AND(F65&lt;&gt;0,1962&lt;&gt;0),IF(100*1962/(F65-0)&lt;0.005,"*",100*1962/(F65-0)),0)</f>
        <v>0.40287557058638723</v>
      </c>
    </row>
    <row r="7" spans="1:7" x14ac:dyDescent="0.2">
      <c r="A7" s="9" t="s">
        <v>95</v>
      </c>
      <c r="B7" s="15">
        <v>5588</v>
      </c>
      <c r="C7" s="15">
        <v>1726</v>
      </c>
      <c r="D7" s="15">
        <v>2904</v>
      </c>
      <c r="E7" s="15">
        <v>4630</v>
      </c>
      <c r="F7" s="15">
        <v>1789</v>
      </c>
      <c r="G7" s="16">
        <f>IF(AND(F65&lt;&gt;0,1789&lt;&gt;0),IF(100*1789/(F65-0)&lt;0.005,"*",100*1789/(F65-0)),0)</f>
        <v>0.36735188367943261</v>
      </c>
    </row>
    <row r="8" spans="1:7" x14ac:dyDescent="0.2">
      <c r="A8" s="9" t="s">
        <v>96</v>
      </c>
      <c r="B8" s="15">
        <v>88922</v>
      </c>
      <c r="C8" s="15">
        <v>417</v>
      </c>
      <c r="D8" s="15">
        <v>54485</v>
      </c>
      <c r="E8" s="15">
        <v>54902</v>
      </c>
      <c r="F8" s="15">
        <v>1164</v>
      </c>
      <c r="G8" s="16">
        <f>IF(AND(F65&lt;&gt;0,1164&lt;&gt;0),IF(100*1164/(F65-0)&lt;0.005,"*",100*1164/(F65-0)),0)</f>
        <v>0.23901486450690865</v>
      </c>
    </row>
    <row r="9" spans="1:7" x14ac:dyDescent="0.2">
      <c r="A9" s="9" t="s">
        <v>97</v>
      </c>
      <c r="B9" s="15">
        <v>42226</v>
      </c>
      <c r="C9" s="15">
        <v>0</v>
      </c>
      <c r="D9" s="15">
        <v>25205</v>
      </c>
      <c r="E9" s="15">
        <v>25205</v>
      </c>
      <c r="F9" s="15">
        <v>343</v>
      </c>
      <c r="G9" s="16">
        <f>IF(AND(F65&lt;&gt;0,343&lt;&gt;0),IF(100*343/(F65-0)&lt;0.005,"*",100*343/(F65-0)),0)</f>
        <v>7.0431356121881158E-2</v>
      </c>
    </row>
    <row r="10" spans="1:7" x14ac:dyDescent="0.2">
      <c r="A10" s="9" t="s">
        <v>98</v>
      </c>
      <c r="B10" s="15">
        <v>494374</v>
      </c>
      <c r="C10" s="15">
        <v>59689</v>
      </c>
      <c r="D10" s="15">
        <v>328936</v>
      </c>
      <c r="E10" s="15">
        <v>388625</v>
      </c>
      <c r="F10" s="15">
        <v>63762</v>
      </c>
      <c r="G10" s="16">
        <f>IF(AND(F65&lt;&gt;0,63762&lt;&gt;0),IF(100*63762/(F65-0)&lt;0.005,"*",100*63762/(F65-0)),0)</f>
        <v>13.092840026365558</v>
      </c>
    </row>
    <row r="11" spans="1:7" x14ac:dyDescent="0.2">
      <c r="A11" s="9" t="s">
        <v>99</v>
      </c>
      <c r="B11" s="15">
        <v>27467</v>
      </c>
      <c r="C11" s="15">
        <v>3376</v>
      </c>
      <c r="D11" s="15">
        <v>33361</v>
      </c>
      <c r="E11" s="15">
        <v>36737</v>
      </c>
      <c r="F11" s="15">
        <v>3501</v>
      </c>
      <c r="G11" s="16">
        <f>IF(AND(F65&lt;&gt;0,3501&lt;&gt;0),IF(100*3501/(F65-0)&lt;0.005,"*",100*3501/(F65-0)),0)</f>
        <v>0.71889264659681029</v>
      </c>
    </row>
    <row r="12" spans="1:7" x14ac:dyDescent="0.2">
      <c r="A12" s="9" t="s">
        <v>100</v>
      </c>
      <c r="B12" s="15">
        <v>37894</v>
      </c>
      <c r="C12" s="15">
        <v>11033</v>
      </c>
      <c r="D12" s="15">
        <v>27734</v>
      </c>
      <c r="E12" s="15">
        <v>38767</v>
      </c>
      <c r="F12" s="15">
        <v>11560</v>
      </c>
      <c r="G12" s="16">
        <f>IF(AND(F65&lt;&gt;0,11560&lt;&gt;0),IF(100*11560/(F65-0)&lt;0.005,"*",100*11560/(F65-0)),0)</f>
        <v>2.3737215066150035</v>
      </c>
    </row>
    <row r="13" spans="1:7" x14ac:dyDescent="0.2">
      <c r="A13" s="9" t="s">
        <v>101</v>
      </c>
      <c r="B13" s="15">
        <v>13154</v>
      </c>
      <c r="C13" s="15">
        <v>0</v>
      </c>
      <c r="D13" s="15">
        <v>6944</v>
      </c>
      <c r="E13" s="15">
        <v>6944</v>
      </c>
      <c r="F13" s="15">
        <v>95</v>
      </c>
      <c r="G13" s="16">
        <f>IF(AND(F65&lt;&gt;0,95&lt;&gt;0),IF(100*95/(F65-0)&lt;0.005,"*",100*95/(F65-0)),0)</f>
        <v>1.9507226914223644E-2</v>
      </c>
    </row>
    <row r="14" spans="1:7" x14ac:dyDescent="0.2">
      <c r="A14" s="9" t="s">
        <v>102</v>
      </c>
      <c r="B14" s="15">
        <v>13794</v>
      </c>
      <c r="C14" s="15">
        <v>0</v>
      </c>
      <c r="D14" s="15">
        <v>15044</v>
      </c>
      <c r="E14" s="15">
        <v>15044</v>
      </c>
      <c r="F14" s="15">
        <v>205</v>
      </c>
      <c r="G14" s="16">
        <f>IF(AND(F65&lt;&gt;0,205&lt;&gt;0),IF(100*205/(F65-0)&lt;0.005,"*",100*205/(F65-0)),0)</f>
        <v>4.2094542288587861E-2</v>
      </c>
    </row>
    <row r="15" spans="1:7" x14ac:dyDescent="0.2">
      <c r="A15" s="9" t="s">
        <v>103</v>
      </c>
      <c r="B15" s="15">
        <v>177578</v>
      </c>
      <c r="C15" s="15">
        <v>35145</v>
      </c>
      <c r="D15" s="15">
        <v>113285</v>
      </c>
      <c r="E15" s="15">
        <v>148430</v>
      </c>
      <c r="F15" s="15">
        <v>35688</v>
      </c>
      <c r="G15" s="16">
        <f>IF(AND(F65&lt;&gt;0,35688&lt;&gt;0),IF(100*35688/(F65-0)&lt;0.005,"*",100*35688/(F65-0)),0)</f>
        <v>7.3281464643664567</v>
      </c>
    </row>
    <row r="16" spans="1:7" x14ac:dyDescent="0.2">
      <c r="A16" s="9" t="s">
        <v>104</v>
      </c>
      <c r="B16" s="15">
        <v>155081</v>
      </c>
      <c r="C16" s="15">
        <v>5130</v>
      </c>
      <c r="D16" s="15">
        <v>78105</v>
      </c>
      <c r="E16" s="15">
        <v>83235</v>
      </c>
      <c r="F16" s="15">
        <v>6262</v>
      </c>
      <c r="G16" s="16">
        <f>IF(AND(F65&lt;&gt;0,6262&lt;&gt;0),IF(100*6262/(F65-0)&lt;0.005,"*",100*6262/(F65-0)),0)</f>
        <v>1.2858342624933521</v>
      </c>
    </row>
    <row r="17" spans="1:7" x14ac:dyDescent="0.2">
      <c r="A17" s="9" t="s">
        <v>105</v>
      </c>
      <c r="B17" s="15">
        <v>11698</v>
      </c>
      <c r="C17" s="15">
        <v>8035</v>
      </c>
      <c r="D17" s="15">
        <v>5147</v>
      </c>
      <c r="E17" s="15">
        <v>13182</v>
      </c>
      <c r="F17" s="15">
        <v>8215</v>
      </c>
      <c r="G17" s="16">
        <f>IF(AND(F65&lt;&gt;0,8215&lt;&gt;0),IF(100*8215/(F65-0)&lt;0.005,"*",100*8215/(F65-0)),0)</f>
        <v>1.6868617800036549</v>
      </c>
    </row>
    <row r="18" spans="1:7" x14ac:dyDescent="0.2">
      <c r="A18" s="9" t="s">
        <v>106</v>
      </c>
      <c r="B18" s="15">
        <v>14779</v>
      </c>
      <c r="C18" s="15">
        <v>1727</v>
      </c>
      <c r="D18" s="15">
        <v>11265</v>
      </c>
      <c r="E18" s="15">
        <v>12992</v>
      </c>
      <c r="F18" s="15">
        <v>1422</v>
      </c>
      <c r="G18" s="16">
        <f>IF(AND(F65&lt;&gt;0,1422&lt;&gt;0),IF(100*1422/(F65-0)&lt;0.005,"*",100*1422/(F65-0)),0)</f>
        <v>0.29199238602132654</v>
      </c>
    </row>
    <row r="19" spans="1:7" x14ac:dyDescent="0.2">
      <c r="A19" s="9" t="s">
        <v>107</v>
      </c>
      <c r="B19" s="15">
        <v>156355</v>
      </c>
      <c r="C19" s="15">
        <v>92149</v>
      </c>
      <c r="D19" s="15">
        <v>74230</v>
      </c>
      <c r="E19" s="15">
        <v>166379</v>
      </c>
      <c r="F19" s="15">
        <v>90185</v>
      </c>
      <c r="G19" s="16">
        <f>IF(AND(F65&lt;&gt;0,90185&lt;&gt;0),IF(100*90185/(F65-0)&lt;0.005,"*",100*90185/(F65-0)),0)</f>
        <v>18.518518518518519</v>
      </c>
    </row>
    <row r="20" spans="1:7" x14ac:dyDescent="0.2">
      <c r="A20" s="9" t="s">
        <v>108</v>
      </c>
      <c r="B20" s="15">
        <v>94494</v>
      </c>
      <c r="C20" s="15">
        <v>5247</v>
      </c>
      <c r="D20" s="15">
        <v>60189</v>
      </c>
      <c r="E20" s="15">
        <v>65436</v>
      </c>
      <c r="F20" s="15">
        <v>6137</v>
      </c>
      <c r="G20" s="16">
        <f>IF(AND(F65&lt;&gt;0,6137&lt;&gt;0),IF(100*6137/(F65-0)&lt;0.005,"*",100*6137/(F65-0)),0)</f>
        <v>1.2601668586588473</v>
      </c>
    </row>
    <row r="21" spans="1:7" x14ac:dyDescent="0.2">
      <c r="A21" s="9" t="s">
        <v>109</v>
      </c>
      <c r="B21" s="15">
        <v>60714</v>
      </c>
      <c r="C21" s="15">
        <v>1894</v>
      </c>
      <c r="D21" s="15">
        <v>34357</v>
      </c>
      <c r="E21" s="15">
        <v>36251</v>
      </c>
      <c r="F21" s="15">
        <v>2387</v>
      </c>
      <c r="G21" s="16">
        <f>IF(AND(F65&lt;&gt;0,2387&lt;&gt;0),IF(100*2387/(F65-0)&lt;0.005,"*",100*2387/(F65-0)),0)</f>
        <v>0.49014474362370353</v>
      </c>
    </row>
    <row r="22" spans="1:7" x14ac:dyDescent="0.2">
      <c r="A22" s="9" t="s">
        <v>110</v>
      </c>
      <c r="B22" s="15">
        <v>24430</v>
      </c>
      <c r="C22" s="15">
        <v>5276</v>
      </c>
      <c r="D22" s="15">
        <v>23217</v>
      </c>
      <c r="E22" s="15">
        <v>28493</v>
      </c>
      <c r="F22" s="15">
        <v>2585</v>
      </c>
      <c r="G22" s="16">
        <f>IF(AND(F65&lt;&gt;0,2585&lt;&gt;0),IF(100*2585/(F65-0)&lt;0.005,"*",100*2585/(F65-0)),0)</f>
        <v>0.53080191129755916</v>
      </c>
    </row>
    <row r="23" spans="1:7" x14ac:dyDescent="0.2">
      <c r="A23" s="9" t="s">
        <v>111</v>
      </c>
      <c r="B23" s="15">
        <v>40985</v>
      </c>
      <c r="C23" s="15">
        <v>1491</v>
      </c>
      <c r="D23" s="15">
        <v>41756</v>
      </c>
      <c r="E23" s="15">
        <v>43247</v>
      </c>
      <c r="F23" s="15">
        <v>760</v>
      </c>
      <c r="G23" s="16">
        <f>IF(AND(F65&lt;&gt;0,760&lt;&gt;0),IF(100*760/(F65-0)&lt;0.005,"*",100*760/(F65-0)),0)</f>
        <v>0.15605781531378915</v>
      </c>
    </row>
    <row r="24" spans="1:7" x14ac:dyDescent="0.2">
      <c r="A24" s="9" t="s">
        <v>112</v>
      </c>
      <c r="B24" s="15">
        <v>47308</v>
      </c>
      <c r="C24" s="15">
        <v>21062</v>
      </c>
      <c r="D24" s="15">
        <v>26511</v>
      </c>
      <c r="E24" s="15">
        <v>47573</v>
      </c>
      <c r="F24" s="15">
        <v>21707</v>
      </c>
      <c r="G24" s="16">
        <f>IF(AND(F65&lt;&gt;0,21707&lt;&gt;0),IF(100*21707/(F65-0)&lt;0.005,"*",100*21707/(F65-0)),0)</f>
        <v>4.4572986802847643</v>
      </c>
    </row>
    <row r="25" spans="1:7" x14ac:dyDescent="0.2">
      <c r="A25" s="9" t="s">
        <v>113</v>
      </c>
      <c r="B25" s="15">
        <v>20687</v>
      </c>
      <c r="C25" s="15">
        <v>462</v>
      </c>
      <c r="D25" s="15">
        <v>17179</v>
      </c>
      <c r="E25" s="15">
        <v>17641</v>
      </c>
      <c r="F25" s="15">
        <v>702</v>
      </c>
      <c r="G25" s="16">
        <f>IF(AND(F65&lt;&gt;0,702&lt;&gt;0),IF(100*702/(F65-0)&lt;0.005,"*",100*702/(F65-0)),0)</f>
        <v>0.14414813993457892</v>
      </c>
    </row>
    <row r="26" spans="1:7" x14ac:dyDescent="0.2">
      <c r="A26" s="9" t="s">
        <v>114</v>
      </c>
      <c r="B26" s="15">
        <v>53183</v>
      </c>
      <c r="C26" s="15">
        <v>21416</v>
      </c>
      <c r="D26" s="15">
        <v>28286</v>
      </c>
      <c r="E26" s="15">
        <v>49702</v>
      </c>
      <c r="F26" s="15">
        <v>22092</v>
      </c>
      <c r="G26" s="16">
        <f>IF(AND(F65&lt;&gt;0,22092&lt;&gt;0),IF(100*22092/(F65-0)&lt;0.005,"*",100*22092/(F65-0)),0)</f>
        <v>4.5363542840950393</v>
      </c>
    </row>
    <row r="27" spans="1:7" x14ac:dyDescent="0.2">
      <c r="A27" s="9" t="s">
        <v>115</v>
      </c>
      <c r="B27" s="15">
        <v>127889</v>
      </c>
      <c r="C27" s="15">
        <v>5170</v>
      </c>
      <c r="D27" s="15">
        <v>94026</v>
      </c>
      <c r="E27" s="15">
        <v>99196</v>
      </c>
      <c r="F27" s="15">
        <v>6521</v>
      </c>
      <c r="G27" s="16">
        <f>IF(AND(F65&lt;&gt;0,6521&lt;&gt;0),IF(100*6521/(F65-0)&lt;0.005,"*",100*6521/(F65-0)),0)</f>
        <v>1.339017123238446</v>
      </c>
    </row>
    <row r="28" spans="1:7" x14ac:dyDescent="0.2">
      <c r="A28" s="9" t="s">
        <v>116</v>
      </c>
      <c r="B28" s="15">
        <v>127225</v>
      </c>
      <c r="C28" s="15">
        <v>47087</v>
      </c>
      <c r="D28" s="15">
        <v>109253</v>
      </c>
      <c r="E28" s="15">
        <v>156340</v>
      </c>
      <c r="F28" s="15">
        <v>12207</v>
      </c>
      <c r="G28" s="16">
        <f>IF(AND(F65&lt;&gt;0,12207&lt;&gt;0),IF(100*12207/(F65-0)&lt;0.005,"*",100*12207/(F65-0)),0)</f>
        <v>2.5065759888624002</v>
      </c>
    </row>
    <row r="29" spans="1:7" x14ac:dyDescent="0.2">
      <c r="A29" s="9" t="s">
        <v>117</v>
      </c>
      <c r="B29" s="15">
        <v>63538</v>
      </c>
      <c r="C29" s="15">
        <v>963</v>
      </c>
      <c r="D29" s="15">
        <v>50950</v>
      </c>
      <c r="E29" s="15">
        <v>51913</v>
      </c>
      <c r="F29" s="15">
        <v>1427</v>
      </c>
      <c r="G29" s="16">
        <f>IF(AND(F65&lt;&gt;0,1427&lt;&gt;0),IF(100*1427/(F65-0)&lt;0.005,"*",100*1427/(F65-0)),0)</f>
        <v>0.29301908217470674</v>
      </c>
    </row>
    <row r="30" spans="1:7" x14ac:dyDescent="0.2">
      <c r="A30" s="9" t="s">
        <v>118</v>
      </c>
      <c r="B30" s="15">
        <v>28431</v>
      </c>
      <c r="C30" s="15">
        <v>3904</v>
      </c>
      <c r="D30" s="15">
        <v>25548</v>
      </c>
      <c r="E30" s="15">
        <v>29452</v>
      </c>
      <c r="F30" s="15">
        <v>3272</v>
      </c>
      <c r="G30" s="16">
        <f>IF(AND(F65&lt;&gt;0,3272&lt;&gt;0),IF(100*3272/(F65-0)&lt;0.005,"*",100*3272/(F65-0)),0)</f>
        <v>0.67186996277199751</v>
      </c>
    </row>
    <row r="31" spans="1:7" x14ac:dyDescent="0.2">
      <c r="A31" s="9" t="s">
        <v>119</v>
      </c>
      <c r="B31" s="15">
        <v>100136</v>
      </c>
      <c r="C31" s="15">
        <v>1559</v>
      </c>
      <c r="D31" s="15">
        <v>61893</v>
      </c>
      <c r="E31" s="15">
        <v>63452</v>
      </c>
      <c r="F31" s="15">
        <v>843</v>
      </c>
      <c r="G31" s="16">
        <f>IF(AND(F65&lt;&gt;0,843&lt;&gt;0),IF(100*843/(F65-0)&lt;0.005,"*",100*843/(F65-0)),0)</f>
        <v>0.17310097145990033</v>
      </c>
    </row>
    <row r="32" spans="1:7" x14ac:dyDescent="0.2">
      <c r="A32" s="9" t="s">
        <v>120</v>
      </c>
      <c r="B32" s="15">
        <v>8409</v>
      </c>
      <c r="C32" s="15">
        <v>0</v>
      </c>
      <c r="D32" s="15">
        <v>8166</v>
      </c>
      <c r="E32" s="15">
        <v>8166</v>
      </c>
      <c r="F32" s="15">
        <v>111</v>
      </c>
      <c r="G32" s="16">
        <f>IF(AND(F65&lt;&gt;0,111&lt;&gt;0),IF(100*111/(F65-0)&lt;0.005,"*",100*111/(F65-0)),0)</f>
        <v>2.2792654605040256E-2</v>
      </c>
    </row>
    <row r="33" spans="1:7" x14ac:dyDescent="0.2">
      <c r="A33" s="9" t="s">
        <v>121</v>
      </c>
      <c r="B33" s="15">
        <v>27825</v>
      </c>
      <c r="C33" s="15">
        <v>771</v>
      </c>
      <c r="D33" s="15">
        <v>17144</v>
      </c>
      <c r="E33" s="15">
        <v>17915</v>
      </c>
      <c r="F33" s="15">
        <v>1015</v>
      </c>
      <c r="G33" s="16">
        <f>IF(AND(F65&lt;&gt;0,1015&lt;&gt;0),IF(100*1015/(F65-0)&lt;0.005,"*",100*1015/(F65-0)),0)</f>
        <v>0.20841931913617892</v>
      </c>
    </row>
    <row r="34" spans="1:7" x14ac:dyDescent="0.2">
      <c r="A34" s="9" t="s">
        <v>122</v>
      </c>
      <c r="B34" s="15">
        <v>22815</v>
      </c>
      <c r="C34" s="15">
        <v>0</v>
      </c>
      <c r="D34" s="15">
        <v>22206</v>
      </c>
      <c r="E34" s="15">
        <v>22206</v>
      </c>
      <c r="F34" s="15">
        <v>302</v>
      </c>
      <c r="G34" s="16">
        <f>IF(AND(F65&lt;&gt;0,302&lt;&gt;0),IF(100*302/(F65-0)&lt;0.005,"*",100*302/(F65-0)),0)</f>
        <v>6.2012447664163584E-2</v>
      </c>
    </row>
    <row r="35" spans="1:7" x14ac:dyDescent="0.2">
      <c r="A35" s="9" t="s">
        <v>123</v>
      </c>
      <c r="B35" s="15">
        <v>20925</v>
      </c>
      <c r="C35" s="15">
        <v>948</v>
      </c>
      <c r="D35" s="15">
        <v>11372</v>
      </c>
      <c r="E35" s="15">
        <v>12320</v>
      </c>
      <c r="F35" s="15">
        <v>1116</v>
      </c>
      <c r="G35" s="16">
        <f>IF(AND(F65&lt;&gt;0,1116&lt;&gt;0),IF(100*1116/(F65-0)&lt;0.005,"*",100*1116/(F65-0)),0)</f>
        <v>0.2291585814344588</v>
      </c>
    </row>
    <row r="36" spans="1:7" x14ac:dyDescent="0.2">
      <c r="A36" s="9" t="s">
        <v>124</v>
      </c>
      <c r="B36" s="15">
        <v>101771</v>
      </c>
      <c r="C36" s="15">
        <v>14117</v>
      </c>
      <c r="D36" s="15">
        <v>72636</v>
      </c>
      <c r="E36" s="15">
        <v>86753</v>
      </c>
      <c r="F36" s="15">
        <v>13537</v>
      </c>
      <c r="G36" s="16">
        <f>IF(AND(F65&lt;&gt;0,13537&lt;&gt;0),IF(100*13537/(F65-0)&lt;0.005,"*",100*13537/(F65-0)),0)</f>
        <v>2.7796771656615311</v>
      </c>
    </row>
    <row r="37" spans="1:7" x14ac:dyDescent="0.2">
      <c r="A37" s="9" t="s">
        <v>125</v>
      </c>
      <c r="B37" s="15">
        <v>32987</v>
      </c>
      <c r="C37" s="15">
        <v>700</v>
      </c>
      <c r="D37" s="15">
        <v>17105</v>
      </c>
      <c r="E37" s="15">
        <v>17805</v>
      </c>
      <c r="F37" s="15">
        <v>942</v>
      </c>
      <c r="G37" s="16">
        <f>IF(AND(F65&lt;&gt;0,942&lt;&gt;0),IF(100*942/(F65-0)&lt;0.005,"*",100*942/(F65-0)),0)</f>
        <v>0.19342955529682812</v>
      </c>
    </row>
    <row r="38" spans="1:7" x14ac:dyDescent="0.2">
      <c r="A38" s="9" t="s">
        <v>126</v>
      </c>
      <c r="B38" s="15">
        <v>307248</v>
      </c>
      <c r="C38" s="15">
        <v>198186</v>
      </c>
      <c r="D38" s="15">
        <v>281617</v>
      </c>
      <c r="E38" s="15">
        <v>479803</v>
      </c>
      <c r="F38" s="15">
        <v>30028</v>
      </c>
      <c r="G38" s="16">
        <f>IF(AND(F65&lt;&gt;0,30028&lt;&gt;0),IF(100*30028/(F65-0)&lt;0.005,"*",100*30028/(F65-0)),0)</f>
        <v>6.1659264187400797</v>
      </c>
    </row>
    <row r="39" spans="1:7" x14ac:dyDescent="0.2">
      <c r="A39" s="9" t="s">
        <v>127</v>
      </c>
      <c r="B39" s="15">
        <v>44929</v>
      </c>
      <c r="C39" s="15">
        <v>9466</v>
      </c>
      <c r="D39" s="15">
        <v>70702</v>
      </c>
      <c r="E39" s="15">
        <v>80168</v>
      </c>
      <c r="F39" s="15">
        <v>8192</v>
      </c>
      <c r="G39" s="16">
        <f>IF(AND(F65&lt;&gt;0,8192&lt;&gt;0),IF(100*8192/(F65-0)&lt;0.005,"*",100*8192/(F65-0)),0)</f>
        <v>1.6821389776981062</v>
      </c>
    </row>
    <row r="40" spans="1:7" x14ac:dyDescent="0.2">
      <c r="A40" s="9" t="s">
        <v>128</v>
      </c>
      <c r="B40" s="15">
        <v>5857</v>
      </c>
      <c r="C40" s="15">
        <v>0</v>
      </c>
      <c r="D40" s="15">
        <v>5422</v>
      </c>
      <c r="E40" s="15">
        <v>5422</v>
      </c>
      <c r="F40" s="15">
        <v>74</v>
      </c>
      <c r="G40" s="16">
        <f>IF(AND(F65&lt;&gt;0,74&lt;&gt;0),IF(100*74/(F65-0)&lt;0.005,"*",100*74/(F65-0)),0)</f>
        <v>1.5195103070026838E-2</v>
      </c>
    </row>
    <row r="41" spans="1:7" x14ac:dyDescent="0.2">
      <c r="A41" s="9" t="s">
        <v>129</v>
      </c>
      <c r="B41" s="15">
        <v>199499</v>
      </c>
      <c r="C41" s="15">
        <v>3073</v>
      </c>
      <c r="D41" s="15">
        <v>146482</v>
      </c>
      <c r="E41" s="15">
        <v>149555</v>
      </c>
      <c r="F41" s="15">
        <v>4062</v>
      </c>
      <c r="G41" s="16">
        <f>IF(AND(F65&lt;&gt;0,4062&lt;&gt;0),IF(100*4062/(F65-0)&lt;0.005,"*",100*4062/(F65-0)),0)</f>
        <v>0.8340879550060678</v>
      </c>
    </row>
    <row r="42" spans="1:7" x14ac:dyDescent="0.2">
      <c r="A42" s="9" t="s">
        <v>130</v>
      </c>
      <c r="B42" s="15">
        <v>26947</v>
      </c>
      <c r="C42" s="15">
        <v>0</v>
      </c>
      <c r="D42" s="15">
        <v>26630</v>
      </c>
      <c r="E42" s="15">
        <v>26630</v>
      </c>
      <c r="F42" s="15">
        <v>362</v>
      </c>
      <c r="G42" s="16">
        <f>IF(AND(F65&lt;&gt;0,362&lt;&gt;0),IF(100*362/(F65-0)&lt;0.005,"*",100*362/(F65-0)),0)</f>
        <v>7.4332801504725876E-2</v>
      </c>
    </row>
    <row r="43" spans="1:7" x14ac:dyDescent="0.2">
      <c r="A43" s="9" t="s">
        <v>131</v>
      </c>
      <c r="B43" s="15">
        <v>39414</v>
      </c>
      <c r="C43" s="15">
        <v>517</v>
      </c>
      <c r="D43" s="15">
        <v>34558</v>
      </c>
      <c r="E43" s="15">
        <v>35075</v>
      </c>
      <c r="F43" s="15">
        <v>648</v>
      </c>
      <c r="G43" s="16">
        <f>IF(AND(F65&lt;&gt;0,648&lt;&gt;0),IF(100*648/(F65-0)&lt;0.005,"*",100*648/(F65-0)),0)</f>
        <v>0.13305982147807285</v>
      </c>
    </row>
    <row r="44" spans="1:7" x14ac:dyDescent="0.2">
      <c r="A44" s="9" t="s">
        <v>132</v>
      </c>
      <c r="B44" s="15">
        <v>281504</v>
      </c>
      <c r="C44" s="15">
        <v>7040</v>
      </c>
      <c r="D44" s="15">
        <v>180895</v>
      </c>
      <c r="E44" s="15">
        <v>187935</v>
      </c>
      <c r="F44" s="15">
        <v>4974</v>
      </c>
      <c r="G44" s="16">
        <f>IF(AND(F65&lt;&gt;0,4974&lt;&gt;0),IF(100*4974/(F65-0)&lt;0.005,"*",100*4974/(F65-0)),0)</f>
        <v>1.0213573333826147</v>
      </c>
    </row>
    <row r="45" spans="1:7" x14ac:dyDescent="0.2">
      <c r="A45" s="9" t="s">
        <v>133</v>
      </c>
      <c r="B45" s="15">
        <v>21087</v>
      </c>
      <c r="C45" s="15">
        <v>3210</v>
      </c>
      <c r="D45" s="15">
        <v>13087</v>
      </c>
      <c r="E45" s="15">
        <v>16297</v>
      </c>
      <c r="F45" s="15">
        <v>3432</v>
      </c>
      <c r="G45" s="16">
        <f>IF(AND(F65&lt;&gt;0,3432&lt;&gt;0),IF(100*3432/(F65-0)&lt;0.005,"*",100*3432/(F65-0)),0)</f>
        <v>0.70472423968016362</v>
      </c>
    </row>
    <row r="46" spans="1:7" x14ac:dyDescent="0.2">
      <c r="A46" s="9" t="s">
        <v>134</v>
      </c>
      <c r="B46" s="15">
        <v>44112</v>
      </c>
      <c r="C46" s="15">
        <v>621</v>
      </c>
      <c r="D46" s="15">
        <v>36853</v>
      </c>
      <c r="E46" s="15">
        <v>37474</v>
      </c>
      <c r="F46" s="15">
        <v>502</v>
      </c>
      <c r="G46" s="16">
        <f>IF(AND(F65&lt;&gt;0,502&lt;&gt;0),IF(100*502/(F65-0)&lt;0.005,"*",100*502/(F65-0)),0)</f>
        <v>0.10308029379937125</v>
      </c>
    </row>
    <row r="47" spans="1:7" x14ac:dyDescent="0.2">
      <c r="A47" s="9" t="s">
        <v>135</v>
      </c>
      <c r="B47" s="15">
        <v>6674</v>
      </c>
      <c r="C47" s="15">
        <v>492</v>
      </c>
      <c r="D47" s="15">
        <v>6590</v>
      </c>
      <c r="E47" s="15">
        <v>7082</v>
      </c>
      <c r="F47" s="15">
        <v>588</v>
      </c>
      <c r="G47" s="16">
        <f>IF(AND(F65&lt;&gt;0,588&lt;&gt;0),IF(100*588/(F65-0)&lt;0.005,"*",100*588/(F65-0)),0)</f>
        <v>0.12073946763751055</v>
      </c>
    </row>
    <row r="48" spans="1:7" x14ac:dyDescent="0.2">
      <c r="A48" s="9" t="s">
        <v>136</v>
      </c>
      <c r="B48" s="15">
        <v>49778</v>
      </c>
      <c r="C48" s="15">
        <v>0</v>
      </c>
      <c r="D48" s="15">
        <v>49193</v>
      </c>
      <c r="E48" s="15">
        <v>49193</v>
      </c>
      <c r="F48" s="15">
        <v>670</v>
      </c>
      <c r="G48" s="16">
        <f>IF(AND(F65&lt;&gt;0,670&lt;&gt;0),IF(100*670/(F65-0)&lt;0.005,"*",100*670/(F65-0)),0)</f>
        <v>0.13757728455294568</v>
      </c>
    </row>
    <row r="49" spans="1:7" x14ac:dyDescent="0.2">
      <c r="A49" s="9" t="s">
        <v>137</v>
      </c>
      <c r="B49" s="15">
        <v>285211</v>
      </c>
      <c r="C49" s="15">
        <v>84985</v>
      </c>
      <c r="D49" s="15">
        <v>151194</v>
      </c>
      <c r="E49" s="15">
        <v>236179</v>
      </c>
      <c r="F49" s="15">
        <v>85431</v>
      </c>
      <c r="G49" s="16">
        <f>IF(AND(F65&lt;&gt;0,85431&lt;&gt;0),IF(100*85431/(F65-0)&lt;0.005,"*",100*85431/(F65-0)),0)</f>
        <v>17.542335815884631</v>
      </c>
    </row>
    <row r="50" spans="1:7" x14ac:dyDescent="0.2">
      <c r="A50" s="9" t="s">
        <v>138</v>
      </c>
      <c r="B50" s="15">
        <v>21357</v>
      </c>
      <c r="C50" s="15">
        <v>1538</v>
      </c>
      <c r="D50" s="15">
        <v>19603</v>
      </c>
      <c r="E50" s="15">
        <v>21141</v>
      </c>
      <c r="F50" s="15">
        <v>1826</v>
      </c>
      <c r="G50" s="16">
        <f>IF(AND(F65&lt;&gt;0,1826&lt;&gt;0),IF(100*1826/(F65-0)&lt;0.005,"*",100*1826/(F65-0)),0)</f>
        <v>0.37494943521444601</v>
      </c>
    </row>
    <row r="51" spans="1:7" x14ac:dyDescent="0.2">
      <c r="A51" s="9" t="s">
        <v>139</v>
      </c>
      <c r="B51" s="15">
        <v>8399</v>
      </c>
      <c r="C51" s="15">
        <v>0</v>
      </c>
      <c r="D51" s="15">
        <v>7589</v>
      </c>
      <c r="E51" s="15">
        <v>7589</v>
      </c>
      <c r="F51" s="15">
        <v>103</v>
      </c>
      <c r="G51" s="16">
        <f>IF(AND(F65&lt;&gt;0,103&lt;&gt;0),IF(100*103/(F65-0)&lt;0.005,"*",100*103/(F65-0)),0)</f>
        <v>2.114994075963195E-2</v>
      </c>
    </row>
    <row r="52" spans="1:7" x14ac:dyDescent="0.2">
      <c r="A52" s="9" t="s">
        <v>140</v>
      </c>
      <c r="B52" s="15">
        <v>53730</v>
      </c>
      <c r="C52" s="15">
        <v>10413</v>
      </c>
      <c r="D52" s="15">
        <v>50962</v>
      </c>
      <c r="E52" s="15">
        <v>61375</v>
      </c>
      <c r="F52" s="15">
        <v>5289</v>
      </c>
      <c r="G52" s="16">
        <f>IF(AND(F65&lt;&gt;0,5289&lt;&gt;0),IF(100*5289/(F65-0)&lt;0.005,"*",100*5289/(F65-0)),0)</f>
        <v>1.0860391910455669</v>
      </c>
    </row>
    <row r="53" spans="1:7" x14ac:dyDescent="0.2">
      <c r="A53" s="9" t="s">
        <v>141</v>
      </c>
      <c r="B53" s="15">
        <v>62471</v>
      </c>
      <c r="C53" s="15">
        <v>13674</v>
      </c>
      <c r="D53" s="15">
        <v>45495</v>
      </c>
      <c r="E53" s="15">
        <v>59169</v>
      </c>
      <c r="F53" s="15">
        <v>11176</v>
      </c>
      <c r="G53" s="16">
        <f>IF(AND(F65&lt;&gt;0,11176&lt;&gt;0),IF(100*11176/(F65-0)&lt;0.005,"*",100*11176/(F65-0)),0)</f>
        <v>2.2948712420354047</v>
      </c>
    </row>
    <row r="54" spans="1:7" x14ac:dyDescent="0.2">
      <c r="A54" s="9" t="s">
        <v>142</v>
      </c>
      <c r="B54" s="15">
        <v>35815</v>
      </c>
      <c r="C54" s="15">
        <v>0</v>
      </c>
      <c r="D54" s="15">
        <v>20176</v>
      </c>
      <c r="E54" s="15">
        <v>20176</v>
      </c>
      <c r="F54" s="15">
        <v>275</v>
      </c>
      <c r="G54" s="16">
        <f>IF(AND(F65&lt;&gt;0,275&lt;&gt;0),IF(100*275/(F65-0)&lt;0.005,"*",100*275/(F65-0)),0)</f>
        <v>5.6468288435910549E-2</v>
      </c>
    </row>
    <row r="55" spans="1:7" x14ac:dyDescent="0.2">
      <c r="A55" s="9" t="s">
        <v>143</v>
      </c>
      <c r="B55" s="15">
        <v>92860</v>
      </c>
      <c r="C55" s="15">
        <v>3131</v>
      </c>
      <c r="D55" s="15">
        <v>57732</v>
      </c>
      <c r="E55" s="15">
        <v>60863</v>
      </c>
      <c r="F55" s="15">
        <v>3960</v>
      </c>
      <c r="G55" s="16">
        <f>IF(AND(F65&lt;&gt;0,3960&lt;&gt;0),IF(100*3960/(F65-0)&lt;0.005,"*",100*3960/(F65-0)),0)</f>
        <v>0.81314335347711186</v>
      </c>
    </row>
    <row r="56" spans="1:7" x14ac:dyDescent="0.2">
      <c r="A56" s="9" t="s">
        <v>144</v>
      </c>
      <c r="B56" s="15">
        <v>3221</v>
      </c>
      <c r="C56" s="15">
        <v>369</v>
      </c>
      <c r="D56" s="15">
        <v>3766</v>
      </c>
      <c r="E56" s="15">
        <v>4135</v>
      </c>
      <c r="F56" s="15">
        <v>51</v>
      </c>
      <c r="G56" s="16">
        <f>IF(AND(F65&lt;&gt;0,51&lt;&gt;0),IF(100*51/(F65-0)&lt;0.005,"*",100*51/(F65-0)),0)</f>
        <v>1.0472300764477955E-2</v>
      </c>
    </row>
    <row r="57" spans="1:7" x14ac:dyDescent="0.2">
      <c r="A57" s="9" t="s">
        <v>145</v>
      </c>
      <c r="B57" s="15">
        <v>1969</v>
      </c>
      <c r="C57" s="15">
        <v>0</v>
      </c>
      <c r="D57" s="15">
        <v>942</v>
      </c>
      <c r="E57" s="15">
        <v>942</v>
      </c>
      <c r="F57" s="15">
        <v>13</v>
      </c>
      <c r="G57" s="16" t="str">
        <f>IF(AND(F65&lt;&gt;0,13&lt;&gt;0),IF(100*13/(F65-0)&lt;0.005,"*",100*13/(F65-0)),0)</f>
        <v>*</v>
      </c>
    </row>
    <row r="58" spans="1:7" x14ac:dyDescent="0.2">
      <c r="A58" s="9" t="s">
        <v>146</v>
      </c>
      <c r="B58" s="15">
        <v>3051</v>
      </c>
      <c r="C58" s="15">
        <v>0</v>
      </c>
      <c r="D58" s="15">
        <v>3060</v>
      </c>
      <c r="E58" s="15">
        <v>3060</v>
      </c>
      <c r="F58" s="15">
        <v>42</v>
      </c>
      <c r="G58" s="16">
        <f>IF(AND(F65&lt;&gt;0,42&lt;&gt;0),IF(100*42/(F65-0)&lt;0.005,"*",100*42/(F65-0)),0)</f>
        <v>8.624247688393611E-3</v>
      </c>
    </row>
    <row r="59" spans="1:7" x14ac:dyDescent="0.2">
      <c r="A59" s="9" t="s">
        <v>147</v>
      </c>
      <c r="B59" s="15">
        <v>1002</v>
      </c>
      <c r="C59" s="15">
        <v>0</v>
      </c>
      <c r="D59" s="15">
        <v>955</v>
      </c>
      <c r="E59" s="15">
        <v>955</v>
      </c>
      <c r="F59" s="15">
        <v>13</v>
      </c>
      <c r="G59" s="16" t="str">
        <f>IF(AND(F65&lt;&gt;0,13&lt;&gt;0),IF(100*13/(F65-0)&lt;0.005,"*",100*13/(F65-0)),0)</f>
        <v>*</v>
      </c>
    </row>
    <row r="60" spans="1:7" x14ac:dyDescent="0.2">
      <c r="A60" s="9" t="s">
        <v>148</v>
      </c>
      <c r="B60" s="15">
        <v>82190</v>
      </c>
      <c r="C60" s="15">
        <v>674</v>
      </c>
      <c r="D60" s="15">
        <v>55902</v>
      </c>
      <c r="E60" s="15">
        <v>56576</v>
      </c>
      <c r="F60" s="15">
        <v>1445</v>
      </c>
      <c r="G60" s="16">
        <f>IF(AND(F65&lt;&gt;0,1445&lt;&gt;0),IF(100*1445/(F65-0)&lt;0.005,"*",100*1445/(F65-0)),0)</f>
        <v>0.29671518832687543</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1930</v>
      </c>
      <c r="C62" s="15">
        <v>0</v>
      </c>
      <c r="D62" s="15">
        <v>1961</v>
      </c>
      <c r="E62" s="15">
        <v>1961</v>
      </c>
      <c r="F62" s="15">
        <v>27</v>
      </c>
      <c r="G62" s="16">
        <f>IF(AND(F65&lt;&gt;0,27&lt;&gt;0),IF(100*27/(F65-0)&lt;0.005,"*",100*27/(F65-0)),0)</f>
        <v>5.5441592282530353E-3</v>
      </c>
    </row>
    <row r="63" spans="1:7" x14ac:dyDescent="0.2">
      <c r="A63" s="9" t="s">
        <v>151</v>
      </c>
      <c r="B63" s="15">
        <v>2203</v>
      </c>
      <c r="C63" s="15">
        <v>65980</v>
      </c>
      <c r="D63" s="15">
        <v>65000</v>
      </c>
      <c r="E63" s="15">
        <v>130980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64421+5588+88922+42226+494374+27467+37894+13154+13794+177578+155081+11698+14779+156355+94494+60714+24430+40985+47308+20687+53183+127889+127225+63538+28431+100136+8409+27825+22815+20925+101771+32987+307248+44929+5857+199499+26947+39414+281504+21087+44112+6674+49778+285211+21357+8399+53730+62471+35815+92860+3221+1969+3051+1002+82190+0+1930+2203+0+0</f>
        <v>3989541</v>
      </c>
      <c r="C65" s="18">
        <f>3820+1726+417+0+59689+3376+11033+0+0+35145+5130+8035+1727+92149+5247+1894+5276+1491+21062+462+21416+5170+47087+963+3904+1559+0+771+0+948+14117+700+198186+9466+0+3073+0+517+7040+3210+621+492+0+84985+1538+0+10413+13674+0+3131+369+0+0+0+674+0+0+65980+0+0</f>
        <v>757683</v>
      </c>
      <c r="D65" s="18">
        <f>41525+2904+54485+25205+328936+33361+27734+6944+15044+113285+78105+5147+11265+74230+60189+34357+23217+41756+26511+17179+28286+94026+109253+50950+25548+61893+8166+17144+22206+11372+72636+17105+281617+70702+5422+146482+26630+34558+180895+13087+36853+6590+49193+151194+19603+7589+50962+45495+20176+57732+3766+942+3060+955+55902+0+1961+65000+0+0</f>
        <v>2876330</v>
      </c>
      <c r="E65" s="18">
        <f>SUM(C65:D65)</f>
        <v>3634013</v>
      </c>
      <c r="F65" s="18">
        <f>1962+1789+1164+343+63762+3501+11560+95+205+35688+6262+8215+1422+90185+6137+2387+2585+760+21707+702+22092+6521+12207+1427+3272+843+111+1015+302+1116+13537+942+30028+8192+74+4062+362+648+4974+3432+502+588+670+85431+1826+103+5289+11176+275+3960+51+13+42+13+1445+0+27+0+0+0</f>
        <v>486999</v>
      </c>
      <c r="G65" s="19" t="s">
        <v>153</v>
      </c>
    </row>
    <row r="66" spans="1:7" ht="15" customHeight="1" x14ac:dyDescent="0.2">
      <c r="A66" s="80" t="s">
        <v>154</v>
      </c>
      <c r="B66" s="80"/>
      <c r="C66" s="80"/>
      <c r="D66" s="80"/>
      <c r="E66" s="80"/>
      <c r="F66" s="80"/>
      <c r="G66" s="80"/>
    </row>
    <row r="67" spans="1:7" ht="15" customHeight="1" x14ac:dyDescent="0.2">
      <c r="A67" s="66" t="s">
        <v>155</v>
      </c>
      <c r="B67" s="66"/>
      <c r="C67" s="66"/>
      <c r="D67" s="66"/>
      <c r="E67" s="66"/>
      <c r="F67" s="66"/>
      <c r="G67" s="66"/>
    </row>
  </sheetData>
  <mergeCells count="6">
    <mergeCell ref="A67:G67"/>
    <mergeCell ref="A4:A5"/>
    <mergeCell ref="B4:B5"/>
    <mergeCell ref="F4:F5"/>
    <mergeCell ref="G4:G5"/>
    <mergeCell ref="A66:G66"/>
  </mergeCells>
  <pageMargins left="0.7" right="0.7" top="0.75" bottom="0.75" header="0.3" footer="0.3"/>
  <pageSetup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285</v>
      </c>
      <c r="B1" s="8"/>
      <c r="C1" s="8"/>
      <c r="D1" s="8"/>
      <c r="E1" s="8"/>
      <c r="F1" s="8"/>
      <c r="G1" s="10" t="s">
        <v>286</v>
      </c>
    </row>
    <row r="2" spans="1:7" x14ac:dyDescent="0.2">
      <c r="A2" s="11" t="s">
        <v>288</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0</v>
      </c>
      <c r="C6" s="15">
        <v>0</v>
      </c>
      <c r="D6" s="15">
        <v>0</v>
      </c>
      <c r="E6" s="15">
        <v>0</v>
      </c>
      <c r="F6" s="15">
        <v>0</v>
      </c>
      <c r="G6" s="16">
        <f>IF(AND(F65&lt;&gt;1677500,0&lt;&gt;0),IF(100*0/(F65-1677500)&lt;0.005,"*",100*0/(F65-1677500)),0)</f>
        <v>0</v>
      </c>
    </row>
    <row r="7" spans="1:7" x14ac:dyDescent="0.2">
      <c r="A7" s="9" t="s">
        <v>95</v>
      </c>
      <c r="B7" s="15">
        <v>0</v>
      </c>
      <c r="C7" s="15">
        <v>0</v>
      </c>
      <c r="D7" s="15">
        <v>0</v>
      </c>
      <c r="E7" s="15">
        <v>0</v>
      </c>
      <c r="F7" s="15">
        <v>0</v>
      </c>
      <c r="G7" s="16">
        <f>IF(AND(F65&lt;&gt;1677500,0&lt;&gt;0),IF(100*0/(F65-1677500)&lt;0.005,"*",100*0/(F65-1677500)),0)</f>
        <v>0</v>
      </c>
    </row>
    <row r="8" spans="1:7" x14ac:dyDescent="0.2">
      <c r="A8" s="9" t="s">
        <v>96</v>
      </c>
      <c r="B8" s="15">
        <v>0</v>
      </c>
      <c r="C8" s="15">
        <v>0</v>
      </c>
      <c r="D8" s="15">
        <v>0</v>
      </c>
      <c r="E8" s="15">
        <v>0</v>
      </c>
      <c r="F8" s="15">
        <v>0</v>
      </c>
      <c r="G8" s="16">
        <f>IF(AND(F65&lt;&gt;1677500,0&lt;&gt;0),IF(100*0/(F65-1677500)&lt;0.005,"*",100*0/(F65-1677500)),0)</f>
        <v>0</v>
      </c>
    </row>
    <row r="9" spans="1:7" x14ac:dyDescent="0.2">
      <c r="A9" s="9" t="s">
        <v>97</v>
      </c>
      <c r="B9" s="15">
        <v>0</v>
      </c>
      <c r="C9" s="15">
        <v>0</v>
      </c>
      <c r="D9" s="15">
        <v>0</v>
      </c>
      <c r="E9" s="15">
        <v>0</v>
      </c>
      <c r="F9" s="15">
        <v>0</v>
      </c>
      <c r="G9" s="16">
        <f>IF(AND(F65&lt;&gt;1677500,0&lt;&gt;0),IF(100*0/(F65-1677500)&lt;0.005,"*",100*0/(F65-1677500)),0)</f>
        <v>0</v>
      </c>
    </row>
    <row r="10" spans="1:7" x14ac:dyDescent="0.2">
      <c r="A10" s="9" t="s">
        <v>98</v>
      </c>
      <c r="B10" s="15">
        <v>1797</v>
      </c>
      <c r="C10" s="15">
        <v>124155</v>
      </c>
      <c r="D10" s="15">
        <v>0</v>
      </c>
      <c r="E10" s="15">
        <v>124155</v>
      </c>
      <c r="F10" s="15">
        <v>88219</v>
      </c>
      <c r="G10" s="16">
        <f>IF(AND(F65&lt;&gt;1677500,88219&lt;&gt;0),IF(100*88219/(F65-1677500)&lt;0.005,"*",100*88219/(F65-1677500)),0)</f>
        <v>0.49189506981955911</v>
      </c>
    </row>
    <row r="11" spans="1:7" x14ac:dyDescent="0.2">
      <c r="A11" s="9" t="s">
        <v>99</v>
      </c>
      <c r="B11" s="15">
        <v>0</v>
      </c>
      <c r="C11" s="15">
        <v>0</v>
      </c>
      <c r="D11" s="15">
        <v>0</v>
      </c>
      <c r="E11" s="15">
        <v>0</v>
      </c>
      <c r="F11" s="15">
        <v>0</v>
      </c>
      <c r="G11" s="16">
        <f>IF(AND(F65&lt;&gt;1677500,0&lt;&gt;0),IF(100*0/(F65-1677500)&lt;0.005,"*",100*0/(F65-1677500)),0)</f>
        <v>0</v>
      </c>
    </row>
    <row r="12" spans="1:7" x14ac:dyDescent="0.2">
      <c r="A12" s="9" t="s">
        <v>100</v>
      </c>
      <c r="B12" s="15">
        <v>0</v>
      </c>
      <c r="C12" s="15">
        <v>0</v>
      </c>
      <c r="D12" s="15">
        <v>0</v>
      </c>
      <c r="E12" s="15">
        <v>0</v>
      </c>
      <c r="F12" s="15">
        <v>0</v>
      </c>
      <c r="G12" s="16">
        <f>IF(AND(F65&lt;&gt;1677500,0&lt;&gt;0),IF(100*0/(F65-1677500)&lt;0.005,"*",100*0/(F65-1677500)),0)</f>
        <v>0</v>
      </c>
    </row>
    <row r="13" spans="1:7" x14ac:dyDescent="0.2">
      <c r="A13" s="9" t="s">
        <v>101</v>
      </c>
      <c r="B13" s="15">
        <v>0</v>
      </c>
      <c r="C13" s="15">
        <v>0</v>
      </c>
      <c r="D13" s="15">
        <v>0</v>
      </c>
      <c r="E13" s="15">
        <v>0</v>
      </c>
      <c r="F13" s="15">
        <v>0</v>
      </c>
      <c r="G13" s="16">
        <f>IF(AND(F65&lt;&gt;1677500,0&lt;&gt;0),IF(100*0/(F65-1677500)&lt;0.005,"*",100*0/(F65-1677500)),0)</f>
        <v>0</v>
      </c>
    </row>
    <row r="14" spans="1:7" x14ac:dyDescent="0.2">
      <c r="A14" s="9" t="s">
        <v>102</v>
      </c>
      <c r="B14" s="15">
        <v>0</v>
      </c>
      <c r="C14" s="15">
        <v>0</v>
      </c>
      <c r="D14" s="15">
        <v>0</v>
      </c>
      <c r="E14" s="15">
        <v>0</v>
      </c>
      <c r="F14" s="15">
        <v>0</v>
      </c>
      <c r="G14" s="16">
        <f>IF(AND(F65&lt;&gt;1677500,0&lt;&gt;0),IF(100*0/(F65-1677500)&lt;0.005,"*",100*0/(F65-1677500)),0)</f>
        <v>0</v>
      </c>
    </row>
    <row r="15" spans="1:7" x14ac:dyDescent="0.2">
      <c r="A15" s="9" t="s">
        <v>103</v>
      </c>
      <c r="B15" s="15">
        <v>675257</v>
      </c>
      <c r="C15" s="15">
        <v>157676</v>
      </c>
      <c r="D15" s="15">
        <v>0</v>
      </c>
      <c r="E15" s="15">
        <v>157676</v>
      </c>
      <c r="F15" s="15">
        <v>633485</v>
      </c>
      <c r="G15" s="16">
        <f>IF(AND(F65&lt;&gt;1677500,633485&lt;&gt;0),IF(100*633485/(F65-1677500)&lt;0.005,"*",100*633485/(F65-1677500)),0)</f>
        <v>3.5322112958052507</v>
      </c>
    </row>
    <row r="16" spans="1:7" x14ac:dyDescent="0.2">
      <c r="A16" s="9" t="s">
        <v>104</v>
      </c>
      <c r="B16" s="15">
        <v>0</v>
      </c>
      <c r="C16" s="15">
        <v>37943</v>
      </c>
      <c r="D16" s="15">
        <v>0</v>
      </c>
      <c r="E16" s="15">
        <v>37943</v>
      </c>
      <c r="F16" s="15">
        <v>26961</v>
      </c>
      <c r="G16" s="16">
        <f>IF(AND(F65&lt;&gt;1677500,26961&lt;&gt;0),IF(100*26961/(F65-1677500)&lt;0.005,"*",100*26961/(F65-1677500)),0)</f>
        <v>0.15033023472727114</v>
      </c>
    </row>
    <row r="17" spans="1:7" x14ac:dyDescent="0.2">
      <c r="A17" s="9" t="s">
        <v>105</v>
      </c>
      <c r="B17" s="15">
        <v>0</v>
      </c>
      <c r="C17" s="15">
        <v>0</v>
      </c>
      <c r="D17" s="15">
        <v>0</v>
      </c>
      <c r="E17" s="15">
        <v>0</v>
      </c>
      <c r="F17" s="15">
        <v>0</v>
      </c>
      <c r="G17" s="16">
        <f>IF(AND(F65&lt;&gt;1677500,0&lt;&gt;0),IF(100*0/(F65-1677500)&lt;0.005,"*",100*0/(F65-1677500)),0)</f>
        <v>0</v>
      </c>
    </row>
    <row r="18" spans="1:7" x14ac:dyDescent="0.2">
      <c r="A18" s="9" t="s">
        <v>106</v>
      </c>
      <c r="B18" s="15">
        <v>0</v>
      </c>
      <c r="C18" s="15">
        <v>0</v>
      </c>
      <c r="D18" s="15">
        <v>0</v>
      </c>
      <c r="E18" s="15">
        <v>0</v>
      </c>
      <c r="F18" s="15">
        <v>0</v>
      </c>
      <c r="G18" s="16">
        <f>IF(AND(F65&lt;&gt;1677500,0&lt;&gt;0),IF(100*0/(F65-1677500)&lt;0.005,"*",100*0/(F65-1677500)),0)</f>
        <v>0</v>
      </c>
    </row>
    <row r="19" spans="1:7" x14ac:dyDescent="0.2">
      <c r="A19" s="9" t="s">
        <v>107</v>
      </c>
      <c r="B19" s="15">
        <v>0</v>
      </c>
      <c r="C19" s="15">
        <v>0</v>
      </c>
      <c r="D19" s="15">
        <v>0</v>
      </c>
      <c r="E19" s="15">
        <v>0</v>
      </c>
      <c r="F19" s="15">
        <v>0</v>
      </c>
      <c r="G19" s="16">
        <f>IF(AND(F65&lt;&gt;1677500,0&lt;&gt;0),IF(100*0/(F65-1677500)&lt;0.005,"*",100*0/(F65-1677500)),0)</f>
        <v>0</v>
      </c>
    </row>
    <row r="20" spans="1:7" x14ac:dyDescent="0.2">
      <c r="A20" s="9" t="s">
        <v>108</v>
      </c>
      <c r="B20" s="15">
        <v>0</v>
      </c>
      <c r="C20" s="15">
        <v>0</v>
      </c>
      <c r="D20" s="15">
        <v>0</v>
      </c>
      <c r="E20" s="15">
        <v>0</v>
      </c>
      <c r="F20" s="15">
        <v>0</v>
      </c>
      <c r="G20" s="16">
        <f>IF(AND(F65&lt;&gt;1677500,0&lt;&gt;0),IF(100*0/(F65-1677500)&lt;0.005,"*",100*0/(F65-1677500)),0)</f>
        <v>0</v>
      </c>
    </row>
    <row r="21" spans="1:7" x14ac:dyDescent="0.2">
      <c r="A21" s="9" t="s">
        <v>109</v>
      </c>
      <c r="B21" s="15">
        <v>0</v>
      </c>
      <c r="C21" s="15">
        <v>0</v>
      </c>
      <c r="D21" s="15">
        <v>0</v>
      </c>
      <c r="E21" s="15">
        <v>0</v>
      </c>
      <c r="F21" s="15">
        <v>0</v>
      </c>
      <c r="G21" s="16">
        <f>IF(AND(F65&lt;&gt;1677500,0&lt;&gt;0),IF(100*0/(F65-1677500)&lt;0.005,"*",100*0/(F65-1677500)),0)</f>
        <v>0</v>
      </c>
    </row>
    <row r="22" spans="1:7" x14ac:dyDescent="0.2">
      <c r="A22" s="9" t="s">
        <v>110</v>
      </c>
      <c r="B22" s="15">
        <v>0</v>
      </c>
      <c r="C22" s="15">
        <v>0</v>
      </c>
      <c r="D22" s="15">
        <v>0</v>
      </c>
      <c r="E22" s="15">
        <v>0</v>
      </c>
      <c r="F22" s="15">
        <v>0</v>
      </c>
      <c r="G22" s="16">
        <f>IF(AND(F65&lt;&gt;1677500,0&lt;&gt;0),IF(100*0/(F65-1677500)&lt;0.005,"*",100*0/(F65-1677500)),0)</f>
        <v>0</v>
      </c>
    </row>
    <row r="23" spans="1:7" x14ac:dyDescent="0.2">
      <c r="A23" s="9" t="s">
        <v>111</v>
      </c>
      <c r="B23" s="15">
        <v>0</v>
      </c>
      <c r="C23" s="15">
        <v>0</v>
      </c>
      <c r="D23" s="15">
        <v>0</v>
      </c>
      <c r="E23" s="15">
        <v>0</v>
      </c>
      <c r="F23" s="15">
        <v>0</v>
      </c>
      <c r="G23" s="16">
        <f>IF(AND(F65&lt;&gt;1677500,0&lt;&gt;0),IF(100*0/(F65-1677500)&lt;0.005,"*",100*0/(F65-1677500)),0)</f>
        <v>0</v>
      </c>
    </row>
    <row r="24" spans="1:7" x14ac:dyDescent="0.2">
      <c r="A24" s="9" t="s">
        <v>112</v>
      </c>
      <c r="B24" s="15">
        <v>51435</v>
      </c>
      <c r="C24" s="15">
        <v>0</v>
      </c>
      <c r="D24" s="15">
        <v>0</v>
      </c>
      <c r="E24" s="15">
        <v>0</v>
      </c>
      <c r="F24" s="15">
        <v>1213917</v>
      </c>
      <c r="G24" s="16">
        <f>IF(AND(F65&lt;&gt;1677500,1213917&lt;&gt;0),IF(100*1213917/(F65-1677500)&lt;0.005,"*",100*1213917/(F65-1677500)),0)</f>
        <v>6.7686075275184452</v>
      </c>
    </row>
    <row r="25" spans="1:7" x14ac:dyDescent="0.2">
      <c r="A25" s="9" t="s">
        <v>113</v>
      </c>
      <c r="B25" s="15">
        <v>0</v>
      </c>
      <c r="C25" s="15">
        <v>0</v>
      </c>
      <c r="D25" s="15">
        <v>0</v>
      </c>
      <c r="E25" s="15">
        <v>0</v>
      </c>
      <c r="F25" s="15">
        <v>0</v>
      </c>
      <c r="G25" s="16">
        <f>IF(AND(F65&lt;&gt;1677500,0&lt;&gt;0),IF(100*0/(F65-1677500)&lt;0.005,"*",100*0/(F65-1677500)),0)</f>
        <v>0</v>
      </c>
    </row>
    <row r="26" spans="1:7" x14ac:dyDescent="0.2">
      <c r="A26" s="9" t="s">
        <v>114</v>
      </c>
      <c r="B26" s="15">
        <v>0</v>
      </c>
      <c r="C26" s="15">
        <v>0</v>
      </c>
      <c r="D26" s="15">
        <v>0</v>
      </c>
      <c r="E26" s="15">
        <v>0</v>
      </c>
      <c r="F26" s="15">
        <v>0</v>
      </c>
      <c r="G26" s="16">
        <f>IF(AND(F65&lt;&gt;1677500,0&lt;&gt;0),IF(100*0/(F65-1677500)&lt;0.005,"*",100*0/(F65-1677500)),0)</f>
        <v>0</v>
      </c>
    </row>
    <row r="27" spans="1:7" x14ac:dyDescent="0.2">
      <c r="A27" s="9" t="s">
        <v>115</v>
      </c>
      <c r="B27" s="15">
        <v>0</v>
      </c>
      <c r="C27" s="15">
        <v>0</v>
      </c>
      <c r="D27" s="15">
        <v>0</v>
      </c>
      <c r="E27" s="15">
        <v>0</v>
      </c>
      <c r="F27" s="15">
        <v>0</v>
      </c>
      <c r="G27" s="16">
        <f>IF(AND(F65&lt;&gt;1677500,0&lt;&gt;0),IF(100*0/(F65-1677500)&lt;0.005,"*",100*0/(F65-1677500)),0)</f>
        <v>0</v>
      </c>
    </row>
    <row r="28" spans="1:7" x14ac:dyDescent="0.2">
      <c r="A28" s="9" t="s">
        <v>116</v>
      </c>
      <c r="B28" s="15">
        <v>0</v>
      </c>
      <c r="C28" s="15">
        <v>0</v>
      </c>
      <c r="D28" s="15">
        <v>0</v>
      </c>
      <c r="E28" s="15">
        <v>0</v>
      </c>
      <c r="F28" s="15">
        <v>0</v>
      </c>
      <c r="G28" s="16">
        <f>IF(AND(F65&lt;&gt;1677500,0&lt;&gt;0),IF(100*0/(F65-1677500)&lt;0.005,"*",100*0/(F65-1677500)),0)</f>
        <v>0</v>
      </c>
    </row>
    <row r="29" spans="1:7" x14ac:dyDescent="0.2">
      <c r="A29" s="9" t="s">
        <v>117</v>
      </c>
      <c r="B29" s="15">
        <v>0</v>
      </c>
      <c r="C29" s="15">
        <v>0</v>
      </c>
      <c r="D29" s="15">
        <v>0</v>
      </c>
      <c r="E29" s="15">
        <v>0</v>
      </c>
      <c r="F29" s="15">
        <v>0</v>
      </c>
      <c r="G29" s="16">
        <f>IF(AND(F65&lt;&gt;1677500,0&lt;&gt;0),IF(100*0/(F65-1677500)&lt;0.005,"*",100*0/(F65-1677500)),0)</f>
        <v>0</v>
      </c>
    </row>
    <row r="30" spans="1:7" x14ac:dyDescent="0.2">
      <c r="A30" s="9" t="s">
        <v>118</v>
      </c>
      <c r="B30" s="15">
        <v>0</v>
      </c>
      <c r="C30" s="15">
        <v>0</v>
      </c>
      <c r="D30" s="15">
        <v>0</v>
      </c>
      <c r="E30" s="15">
        <v>0</v>
      </c>
      <c r="F30" s="15">
        <v>0</v>
      </c>
      <c r="G30" s="16">
        <f>IF(AND(F65&lt;&gt;1677500,0&lt;&gt;0),IF(100*0/(F65-1677500)&lt;0.005,"*",100*0/(F65-1677500)),0)</f>
        <v>0</v>
      </c>
    </row>
    <row r="31" spans="1:7" x14ac:dyDescent="0.2">
      <c r="A31" s="9" t="s">
        <v>119</v>
      </c>
      <c r="B31" s="15">
        <v>0</v>
      </c>
      <c r="C31" s="15">
        <v>58535</v>
      </c>
      <c r="D31" s="15">
        <v>0</v>
      </c>
      <c r="E31" s="15">
        <v>58535</v>
      </c>
      <c r="F31" s="15">
        <v>41592</v>
      </c>
      <c r="G31" s="16">
        <f>IF(AND(F65&lt;&gt;1677500,41592&lt;&gt;0),IF(100*41592/(F65-1677500)&lt;0.005,"*",100*41592/(F65-1677500)),0)</f>
        <v>0.2319103565437729</v>
      </c>
    </row>
    <row r="32" spans="1:7" x14ac:dyDescent="0.2">
      <c r="A32" s="9" t="s">
        <v>120</v>
      </c>
      <c r="B32" s="15">
        <v>0</v>
      </c>
      <c r="C32" s="15">
        <v>0</v>
      </c>
      <c r="D32" s="15">
        <v>0</v>
      </c>
      <c r="E32" s="15">
        <v>0</v>
      </c>
      <c r="F32" s="15">
        <v>0</v>
      </c>
      <c r="G32" s="16">
        <f>IF(AND(F65&lt;&gt;1677500,0&lt;&gt;0),IF(100*0/(F65-1677500)&lt;0.005,"*",100*0/(F65-1677500)),0)</f>
        <v>0</v>
      </c>
    </row>
    <row r="33" spans="1:7" x14ac:dyDescent="0.2">
      <c r="A33" s="9" t="s">
        <v>121</v>
      </c>
      <c r="B33" s="15">
        <v>0</v>
      </c>
      <c r="C33" s="15">
        <v>0</v>
      </c>
      <c r="D33" s="15">
        <v>0</v>
      </c>
      <c r="E33" s="15">
        <v>0</v>
      </c>
      <c r="F33" s="15">
        <v>0</v>
      </c>
      <c r="G33" s="16">
        <f>IF(AND(F65&lt;&gt;1677500,0&lt;&gt;0),IF(100*0/(F65-1677500)&lt;0.005,"*",100*0/(F65-1677500)),0)</f>
        <v>0</v>
      </c>
    </row>
    <row r="34" spans="1:7" x14ac:dyDescent="0.2">
      <c r="A34" s="9" t="s">
        <v>122</v>
      </c>
      <c r="B34" s="15">
        <v>0</v>
      </c>
      <c r="C34" s="15">
        <v>0</v>
      </c>
      <c r="D34" s="15">
        <v>0</v>
      </c>
      <c r="E34" s="15">
        <v>0</v>
      </c>
      <c r="F34" s="15">
        <v>0</v>
      </c>
      <c r="G34" s="16">
        <f>IF(AND(F65&lt;&gt;1677500,0&lt;&gt;0),IF(100*0/(F65-1677500)&lt;0.005,"*",100*0/(F65-1677500)),0)</f>
        <v>0</v>
      </c>
    </row>
    <row r="35" spans="1:7" x14ac:dyDescent="0.2">
      <c r="A35" s="9" t="s">
        <v>123</v>
      </c>
      <c r="B35" s="15">
        <v>0</v>
      </c>
      <c r="C35" s="15">
        <v>0</v>
      </c>
      <c r="D35" s="15">
        <v>0</v>
      </c>
      <c r="E35" s="15">
        <v>0</v>
      </c>
      <c r="F35" s="15">
        <v>0</v>
      </c>
      <c r="G35" s="16">
        <f>IF(AND(F65&lt;&gt;1677500,0&lt;&gt;0),IF(100*0/(F65-1677500)&lt;0.005,"*",100*0/(F65-1677500)),0)</f>
        <v>0</v>
      </c>
    </row>
    <row r="36" spans="1:7" x14ac:dyDescent="0.2">
      <c r="A36" s="9" t="s">
        <v>124</v>
      </c>
      <c r="B36" s="15">
        <v>0</v>
      </c>
      <c r="C36" s="15">
        <v>0</v>
      </c>
      <c r="D36" s="15">
        <v>0</v>
      </c>
      <c r="E36" s="15">
        <v>0</v>
      </c>
      <c r="F36" s="15">
        <v>0</v>
      </c>
      <c r="G36" s="16">
        <f>IF(AND(F65&lt;&gt;1677500,0&lt;&gt;0),IF(100*0/(F65-1677500)&lt;0.005,"*",100*0/(F65-1677500)),0)</f>
        <v>0</v>
      </c>
    </row>
    <row r="37" spans="1:7" x14ac:dyDescent="0.2">
      <c r="A37" s="9" t="s">
        <v>125</v>
      </c>
      <c r="B37" s="15">
        <v>0</v>
      </c>
      <c r="C37" s="15">
        <v>0</v>
      </c>
      <c r="D37" s="15">
        <v>0</v>
      </c>
      <c r="E37" s="15">
        <v>0</v>
      </c>
      <c r="F37" s="15">
        <v>0</v>
      </c>
      <c r="G37" s="16">
        <f>IF(AND(F65&lt;&gt;1677500,0&lt;&gt;0),IF(100*0/(F65-1677500)&lt;0.005,"*",100*0/(F65-1677500)),0)</f>
        <v>0</v>
      </c>
    </row>
    <row r="38" spans="1:7" x14ac:dyDescent="0.2">
      <c r="A38" s="9" t="s">
        <v>126</v>
      </c>
      <c r="B38" s="15">
        <v>0</v>
      </c>
      <c r="C38" s="15">
        <v>0</v>
      </c>
      <c r="D38" s="15">
        <v>0</v>
      </c>
      <c r="E38" s="15">
        <v>0</v>
      </c>
      <c r="F38" s="15">
        <v>0</v>
      </c>
      <c r="G38" s="16">
        <f>IF(AND(F65&lt;&gt;1677500,0&lt;&gt;0),IF(100*0/(F65-1677500)&lt;0.005,"*",100*0/(F65-1677500)),0)</f>
        <v>0</v>
      </c>
    </row>
    <row r="39" spans="1:7" x14ac:dyDescent="0.2">
      <c r="A39" s="9" t="s">
        <v>127</v>
      </c>
      <c r="B39" s="15">
        <v>37976</v>
      </c>
      <c r="C39" s="15">
        <v>0</v>
      </c>
      <c r="D39" s="15">
        <v>0</v>
      </c>
      <c r="E39" s="15">
        <v>0</v>
      </c>
      <c r="F39" s="15">
        <v>168067</v>
      </c>
      <c r="G39" s="16">
        <f>IF(AND(F65&lt;&gt;1677500,168067&lt;&gt;0),IF(100*168067/(F65-1677500)&lt;0.005,"*",100*168067/(F65-1677500)),0)</f>
        <v>0.93711477912200136</v>
      </c>
    </row>
    <row r="40" spans="1:7" x14ac:dyDescent="0.2">
      <c r="A40" s="9" t="s">
        <v>128</v>
      </c>
      <c r="B40" s="15">
        <v>0</v>
      </c>
      <c r="C40" s="15">
        <v>0</v>
      </c>
      <c r="D40" s="15">
        <v>0</v>
      </c>
      <c r="E40" s="15">
        <v>0</v>
      </c>
      <c r="F40" s="15">
        <v>0</v>
      </c>
      <c r="G40" s="16">
        <f>IF(AND(F65&lt;&gt;1677500,0&lt;&gt;0),IF(100*0/(F65-1677500)&lt;0.005,"*",100*0/(F65-1677500)),0)</f>
        <v>0</v>
      </c>
    </row>
    <row r="41" spans="1:7" x14ac:dyDescent="0.2">
      <c r="A41" s="9" t="s">
        <v>129</v>
      </c>
      <c r="B41" s="15">
        <v>0</v>
      </c>
      <c r="C41" s="15">
        <v>0</v>
      </c>
      <c r="D41" s="15">
        <v>0</v>
      </c>
      <c r="E41" s="15">
        <v>0</v>
      </c>
      <c r="F41" s="15">
        <v>0</v>
      </c>
      <c r="G41" s="16">
        <f>IF(AND(F65&lt;&gt;1677500,0&lt;&gt;0),IF(100*0/(F65-1677500)&lt;0.005,"*",100*0/(F65-1677500)),0)</f>
        <v>0</v>
      </c>
    </row>
    <row r="42" spans="1:7" x14ac:dyDescent="0.2">
      <c r="A42" s="9" t="s">
        <v>130</v>
      </c>
      <c r="B42" s="15">
        <v>0</v>
      </c>
      <c r="C42" s="15">
        <v>0</v>
      </c>
      <c r="D42" s="15">
        <v>0</v>
      </c>
      <c r="E42" s="15">
        <v>0</v>
      </c>
      <c r="F42" s="15">
        <v>0</v>
      </c>
      <c r="G42" s="16">
        <f>IF(AND(F65&lt;&gt;1677500,0&lt;&gt;0),IF(100*0/(F65-1677500)&lt;0.005,"*",100*0/(F65-1677500)),0)</f>
        <v>0</v>
      </c>
    </row>
    <row r="43" spans="1:7" x14ac:dyDescent="0.2">
      <c r="A43" s="9" t="s">
        <v>131</v>
      </c>
      <c r="B43" s="15">
        <v>0</v>
      </c>
      <c r="C43" s="15">
        <v>0</v>
      </c>
      <c r="D43" s="15">
        <v>0</v>
      </c>
      <c r="E43" s="15">
        <v>0</v>
      </c>
      <c r="F43" s="15">
        <v>0</v>
      </c>
      <c r="G43" s="16">
        <f>IF(AND(F65&lt;&gt;1677500,0&lt;&gt;0),IF(100*0/(F65-1677500)&lt;0.005,"*",100*0/(F65-1677500)),0)</f>
        <v>0</v>
      </c>
    </row>
    <row r="44" spans="1:7" x14ac:dyDescent="0.2">
      <c r="A44" s="9" t="s">
        <v>132</v>
      </c>
      <c r="B44" s="15">
        <v>0</v>
      </c>
      <c r="C44" s="15">
        <v>0</v>
      </c>
      <c r="D44" s="15">
        <v>0</v>
      </c>
      <c r="E44" s="15">
        <v>0</v>
      </c>
      <c r="F44" s="15">
        <v>0</v>
      </c>
      <c r="G44" s="16">
        <f>IF(AND(F65&lt;&gt;1677500,0&lt;&gt;0),IF(100*0/(F65-1677500)&lt;0.005,"*",100*0/(F65-1677500)),0)</f>
        <v>0</v>
      </c>
    </row>
    <row r="45" spans="1:7" x14ac:dyDescent="0.2">
      <c r="A45" s="9" t="s">
        <v>133</v>
      </c>
      <c r="B45" s="15">
        <v>0</v>
      </c>
      <c r="C45" s="15">
        <v>0</v>
      </c>
      <c r="D45" s="15">
        <v>0</v>
      </c>
      <c r="E45" s="15">
        <v>0</v>
      </c>
      <c r="F45" s="15">
        <v>0</v>
      </c>
      <c r="G45" s="16">
        <f>IF(AND(F65&lt;&gt;1677500,0&lt;&gt;0),IF(100*0/(F65-1677500)&lt;0.005,"*",100*0/(F65-1677500)),0)</f>
        <v>0</v>
      </c>
    </row>
    <row r="46" spans="1:7" x14ac:dyDescent="0.2">
      <c r="A46" s="9" t="s">
        <v>134</v>
      </c>
      <c r="B46" s="15">
        <v>78110</v>
      </c>
      <c r="C46" s="15">
        <v>0</v>
      </c>
      <c r="D46" s="15">
        <v>0</v>
      </c>
      <c r="E46" s="15">
        <v>0</v>
      </c>
      <c r="F46" s="15">
        <v>213224</v>
      </c>
      <c r="G46" s="16">
        <f>IF(AND(F65&lt;&gt;1677500,213224&lt;&gt;0),IF(100*213224/(F65-1677500)&lt;0.005,"*",100*213224/(F65-1677500)),0)</f>
        <v>1.1889030069169415</v>
      </c>
    </row>
    <row r="47" spans="1:7" x14ac:dyDescent="0.2">
      <c r="A47" s="9" t="s">
        <v>135</v>
      </c>
      <c r="B47" s="15">
        <v>0</v>
      </c>
      <c r="C47" s="15">
        <v>0</v>
      </c>
      <c r="D47" s="15">
        <v>0</v>
      </c>
      <c r="E47" s="15">
        <v>0</v>
      </c>
      <c r="F47" s="15">
        <v>0</v>
      </c>
      <c r="G47" s="16">
        <f>IF(AND(F65&lt;&gt;1677500,0&lt;&gt;0),IF(100*0/(F65-1677500)&lt;0.005,"*",100*0/(F65-1677500)),0)</f>
        <v>0</v>
      </c>
    </row>
    <row r="48" spans="1:7" x14ac:dyDescent="0.2">
      <c r="A48" s="9" t="s">
        <v>136</v>
      </c>
      <c r="B48" s="15">
        <v>0</v>
      </c>
      <c r="C48" s="15">
        <v>0</v>
      </c>
      <c r="D48" s="15">
        <v>0</v>
      </c>
      <c r="E48" s="15">
        <v>0</v>
      </c>
      <c r="F48" s="15">
        <v>0</v>
      </c>
      <c r="G48" s="16">
        <f>IF(AND(F65&lt;&gt;1677500,0&lt;&gt;0),IF(100*0/(F65-1677500)&lt;0.005,"*",100*0/(F65-1677500)),0)</f>
        <v>0</v>
      </c>
    </row>
    <row r="49" spans="1:7" x14ac:dyDescent="0.2">
      <c r="A49" s="9" t="s">
        <v>137</v>
      </c>
      <c r="B49" s="15">
        <v>5374028</v>
      </c>
      <c r="C49" s="15">
        <v>652175</v>
      </c>
      <c r="D49" s="15">
        <v>0</v>
      </c>
      <c r="E49" s="15">
        <v>652175</v>
      </c>
      <c r="F49" s="15">
        <v>4383085</v>
      </c>
      <c r="G49" s="16">
        <f>IF(AND(F65&lt;&gt;1677500,4383085&lt;&gt;0),IF(100*4383085/(F65-1677500)&lt;0.005,"*",100*4383085/(F65-1677500)),0)</f>
        <v>24.439382696471988</v>
      </c>
    </row>
    <row r="50" spans="1:7" x14ac:dyDescent="0.2">
      <c r="A50" s="9" t="s">
        <v>138</v>
      </c>
      <c r="B50" s="15">
        <v>0</v>
      </c>
      <c r="C50" s="15">
        <v>0</v>
      </c>
      <c r="D50" s="15">
        <v>0</v>
      </c>
      <c r="E50" s="15">
        <v>0</v>
      </c>
      <c r="F50" s="15">
        <v>0</v>
      </c>
      <c r="G50" s="16">
        <f>IF(AND(F65&lt;&gt;1677500,0&lt;&gt;0),IF(100*0/(F65-1677500)&lt;0.005,"*",100*0/(F65-1677500)),0)</f>
        <v>0</v>
      </c>
    </row>
    <row r="51" spans="1:7" x14ac:dyDescent="0.2">
      <c r="A51" s="9" t="s">
        <v>139</v>
      </c>
      <c r="B51" s="15">
        <v>0</v>
      </c>
      <c r="C51" s="15">
        <v>0</v>
      </c>
      <c r="D51" s="15">
        <v>0</v>
      </c>
      <c r="E51" s="15">
        <v>0</v>
      </c>
      <c r="F51" s="15">
        <v>0</v>
      </c>
      <c r="G51" s="16">
        <f>IF(AND(F65&lt;&gt;1677500,0&lt;&gt;0),IF(100*0/(F65-1677500)&lt;0.005,"*",100*0/(F65-1677500)),0)</f>
        <v>0</v>
      </c>
    </row>
    <row r="52" spans="1:7" x14ac:dyDescent="0.2">
      <c r="A52" s="9" t="s">
        <v>140</v>
      </c>
      <c r="B52" s="15">
        <v>0</v>
      </c>
      <c r="C52" s="15">
        <v>0</v>
      </c>
      <c r="D52" s="15">
        <v>0</v>
      </c>
      <c r="E52" s="15">
        <v>0</v>
      </c>
      <c r="F52" s="15">
        <v>0</v>
      </c>
      <c r="G52" s="16">
        <f>IF(AND(F65&lt;&gt;1677500,0&lt;&gt;0),IF(100*0/(F65-1677500)&lt;0.005,"*",100*0/(F65-1677500)),0)</f>
        <v>0</v>
      </c>
    </row>
    <row r="53" spans="1:7" x14ac:dyDescent="0.2">
      <c r="A53" s="9" t="s">
        <v>141</v>
      </c>
      <c r="B53" s="15">
        <v>0</v>
      </c>
      <c r="C53" s="15">
        <v>0</v>
      </c>
      <c r="D53" s="15">
        <v>0</v>
      </c>
      <c r="E53" s="15">
        <v>0</v>
      </c>
      <c r="F53" s="15">
        <v>0</v>
      </c>
      <c r="G53" s="16">
        <f>IF(AND(F65&lt;&gt;1677500,0&lt;&gt;0),IF(100*0/(F65-1677500)&lt;0.005,"*",100*0/(F65-1677500)),0)</f>
        <v>0</v>
      </c>
    </row>
    <row r="54" spans="1:7" x14ac:dyDescent="0.2">
      <c r="A54" s="9" t="s">
        <v>142</v>
      </c>
      <c r="B54" s="15">
        <v>45595</v>
      </c>
      <c r="C54" s="15">
        <v>0</v>
      </c>
      <c r="D54" s="15">
        <v>0</v>
      </c>
      <c r="E54" s="15">
        <v>0</v>
      </c>
      <c r="F54" s="15">
        <v>106494</v>
      </c>
      <c r="G54" s="16">
        <f>IF(AND(F65&lt;&gt;1677500,106494&lt;&gt;0),IF(100*106494/(F65-1677500)&lt;0.005,"*",100*106494/(F65-1677500)),0)</f>
        <v>0.59379355428381786</v>
      </c>
    </row>
    <row r="55" spans="1:7" x14ac:dyDescent="0.2">
      <c r="A55" s="9" t="s">
        <v>143</v>
      </c>
      <c r="B55" s="15">
        <v>0</v>
      </c>
      <c r="C55" s="15">
        <v>0</v>
      </c>
      <c r="D55" s="15">
        <v>0</v>
      </c>
      <c r="E55" s="15">
        <v>0</v>
      </c>
      <c r="F55" s="15">
        <v>0</v>
      </c>
      <c r="G55" s="16">
        <f>IF(AND(F65&lt;&gt;1677500,0&lt;&gt;0),IF(100*0/(F65-1677500)&lt;0.005,"*",100*0/(F65-1677500)),0)</f>
        <v>0</v>
      </c>
    </row>
    <row r="56" spans="1:7" x14ac:dyDescent="0.2">
      <c r="A56" s="9" t="s">
        <v>144</v>
      </c>
      <c r="B56" s="15">
        <v>0</v>
      </c>
      <c r="C56" s="15">
        <v>0</v>
      </c>
      <c r="D56" s="15">
        <v>0</v>
      </c>
      <c r="E56" s="15">
        <v>0</v>
      </c>
      <c r="F56" s="15">
        <v>0</v>
      </c>
      <c r="G56" s="16">
        <f>IF(AND(F65&lt;&gt;1677500,0&lt;&gt;0),IF(100*0/(F65-1677500)&lt;0.005,"*",100*0/(F65-1677500)),0)</f>
        <v>0</v>
      </c>
    </row>
    <row r="57" spans="1:7" x14ac:dyDescent="0.2">
      <c r="A57" s="9" t="s">
        <v>145</v>
      </c>
      <c r="B57" s="15">
        <v>0</v>
      </c>
      <c r="C57" s="15">
        <v>0</v>
      </c>
      <c r="D57" s="15">
        <v>0</v>
      </c>
      <c r="E57" s="15">
        <v>0</v>
      </c>
      <c r="F57" s="15">
        <v>0</v>
      </c>
      <c r="G57" s="16">
        <f>IF(AND(F65&lt;&gt;1677500,0&lt;&gt;0),IF(100*0/(F65-1677500)&lt;0.005,"*",100*0/(F65-1677500)),0)</f>
        <v>0</v>
      </c>
    </row>
    <row r="58" spans="1:7" x14ac:dyDescent="0.2">
      <c r="A58" s="9" t="s">
        <v>146</v>
      </c>
      <c r="B58" s="15">
        <v>0</v>
      </c>
      <c r="C58" s="15">
        <v>0</v>
      </c>
      <c r="D58" s="15">
        <v>0</v>
      </c>
      <c r="E58" s="15">
        <v>0</v>
      </c>
      <c r="F58" s="15">
        <v>0</v>
      </c>
      <c r="G58" s="16">
        <f>IF(AND(F65&lt;&gt;1677500,0&lt;&gt;0),IF(100*0/(F65-1677500)&lt;0.005,"*",100*0/(F65-1677500)),0)</f>
        <v>0</v>
      </c>
    </row>
    <row r="59" spans="1:7" x14ac:dyDescent="0.2">
      <c r="A59" s="9" t="s">
        <v>147</v>
      </c>
      <c r="B59" s="15">
        <v>0</v>
      </c>
      <c r="C59" s="15">
        <v>0</v>
      </c>
      <c r="D59" s="15">
        <v>0</v>
      </c>
      <c r="E59" s="15">
        <v>0</v>
      </c>
      <c r="F59" s="15">
        <v>0</v>
      </c>
      <c r="G59" s="16">
        <f>IF(AND(F65&lt;&gt;1677500,0&lt;&gt;0),IF(100*0/(F65-1677500)&lt;0.005,"*",100*0/(F65-1677500)),0)</f>
        <v>0</v>
      </c>
    </row>
    <row r="60" spans="1:7" x14ac:dyDescent="0.2">
      <c r="A60" s="9" t="s">
        <v>148</v>
      </c>
      <c r="B60" s="15">
        <v>1507179</v>
      </c>
      <c r="C60" s="15">
        <v>8220783</v>
      </c>
      <c r="D60" s="15">
        <v>0</v>
      </c>
      <c r="E60" s="15">
        <v>8220783</v>
      </c>
      <c r="F60" s="15">
        <v>10217631</v>
      </c>
      <c r="G60" s="16">
        <f>IF(AND(F65&lt;&gt;1677500,10217631&lt;&gt;0),IF(100*10217631/(F65-1677500)&lt;0.005,"*",100*10217631/(F65-1677500)),0)</f>
        <v>56.971880367443426</v>
      </c>
    </row>
    <row r="61" spans="1:7" x14ac:dyDescent="0.2">
      <c r="A61" s="9" t="s">
        <v>149</v>
      </c>
      <c r="B61" s="15">
        <v>0</v>
      </c>
      <c r="C61" s="15">
        <v>0</v>
      </c>
      <c r="D61" s="15">
        <v>0</v>
      </c>
      <c r="E61" s="15">
        <v>0</v>
      </c>
      <c r="F61" s="15">
        <v>0</v>
      </c>
      <c r="G61" s="16">
        <f>IF(AND(F65&lt;&gt;1677500,0&lt;&gt;0),IF(100*0/(F65-1677500)&lt;0.005,"*",100*0/(F65-1677500)),0)</f>
        <v>0</v>
      </c>
    </row>
    <row r="62" spans="1:7" x14ac:dyDescent="0.2">
      <c r="A62" s="9" t="s">
        <v>150</v>
      </c>
      <c r="B62" s="15">
        <v>242684</v>
      </c>
      <c r="C62" s="15">
        <v>779217</v>
      </c>
      <c r="D62" s="15">
        <v>0</v>
      </c>
      <c r="E62" s="15">
        <v>779217</v>
      </c>
      <c r="F62" s="15">
        <v>841841</v>
      </c>
      <c r="G62" s="16">
        <f>IF(AND(F65&lt;&gt;1677500,841841&lt;&gt;0),IF(100*841841/(F65-1677500)&lt;0.005,"*",100*841841/(F65-1677500)),0)</f>
        <v>4.6939711113475271</v>
      </c>
    </row>
    <row r="63" spans="1:7" x14ac:dyDescent="0.2">
      <c r="A63" s="9" t="s">
        <v>151</v>
      </c>
      <c r="B63" s="15">
        <v>0</v>
      </c>
      <c r="C63" s="15">
        <v>0</v>
      </c>
      <c r="D63" s="15">
        <v>0</v>
      </c>
      <c r="E63" s="15">
        <v>0</v>
      </c>
      <c r="F63" s="15">
        <v>0</v>
      </c>
      <c r="G63" s="16">
        <f>IF(AND(F65&lt;&gt;1677500,0&lt;&gt;0),IF(100*0/(F65-1677500)&lt;0.005,"*",100*0/(F65-1677500)),0)</f>
        <v>0</v>
      </c>
    </row>
    <row r="64" spans="1:7" x14ac:dyDescent="0.2">
      <c r="A64" s="9" t="s">
        <v>152</v>
      </c>
      <c r="B64" s="15">
        <v>0</v>
      </c>
      <c r="C64" s="15">
        <v>27861</v>
      </c>
      <c r="D64" s="15">
        <v>0</v>
      </c>
      <c r="E64" s="15">
        <v>27861</v>
      </c>
      <c r="F64" s="15">
        <v>1677500</v>
      </c>
      <c r="G64" s="16">
        <v>0</v>
      </c>
    </row>
    <row r="65" spans="1:7" ht="15" customHeight="1" x14ac:dyDescent="0.2">
      <c r="A65" s="17" t="s">
        <v>93</v>
      </c>
      <c r="B65" s="18">
        <f>0+0+0+0+1797+0+0+0+0+675257+0+0+0+0+0+0+0+0+51435+0+0+0+0+0+0+0+0+0+0+0+0+0+0+37976+0+0+0+0+0+0+78110+0+0+5374028+0+0+0+0+45595+0+0+0+0+0+1507179+0+242684+0+0+0</f>
        <v>8014061</v>
      </c>
      <c r="C65" s="18">
        <f>0+0+0+0+124155+0+0+0+0+157676+37943+0+0+0+0+0+0+0+0+0+0+0+0+0+0+58535+0+0+0+0+0+0+0+0+0+0+0+0+0+0+0+0+0+652175+0+0+0+0+0+0+0+0+0+0+8220783+0+779217+0+27861+0</f>
        <v>10058345</v>
      </c>
      <c r="D65" s="18">
        <f>0+0+0+0+0+0+0+0+0+0+0+0+0+0+0+0+0+0+0+0+0+0+0+0+0+0+0+0+0+0+0+0+0+0+0+0+0+0+0+0+0+0+0+0+0+0+0+0+0+0+0+0+0+0+0+0+0+0+0+0</f>
        <v>0</v>
      </c>
      <c r="E65" s="18">
        <f>SUM(C65:D65)</f>
        <v>10058345</v>
      </c>
      <c r="F65" s="18">
        <f>0+0+0+0+88219+0+0+0+0+633485+26961+0+0+0+0+0+0+0+1213917+0+0+0+0+0+0+41592+0+0+0+0+0+0+0+168067+0+0+0+0+0+0+213224+0+0+4383085+0+0+0+0+106494+0+0+0+0+0+10217631+0+841841+0+1677500+0</f>
        <v>19612016</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heetViews>
  <sheetFormatPr defaultRowHeight="12.75" x14ac:dyDescent="0.2"/>
  <cols>
    <col min="1" max="1" width="76.140625" customWidth="1"/>
    <col min="2" max="7" width="11.7109375" customWidth="1"/>
  </cols>
  <sheetData>
    <row r="1" spans="1:7" x14ac:dyDescent="0.2">
      <c r="A1" s="11" t="s">
        <v>446</v>
      </c>
      <c r="B1" s="12"/>
      <c r="C1" s="12"/>
      <c r="D1" s="12"/>
      <c r="E1" s="12"/>
      <c r="F1" s="12"/>
      <c r="G1" s="12"/>
    </row>
    <row r="2" spans="1:7" x14ac:dyDescent="0.2">
      <c r="A2" s="12" t="s">
        <v>407</v>
      </c>
      <c r="B2" s="12"/>
      <c r="C2" s="12"/>
      <c r="D2" s="12"/>
      <c r="E2" s="12"/>
      <c r="F2" s="12"/>
      <c r="G2" s="12"/>
    </row>
    <row r="3" spans="1:7" x14ac:dyDescent="0.2">
      <c r="A3" s="56" t="s">
        <v>445</v>
      </c>
      <c r="B3" s="56" t="s">
        <v>444</v>
      </c>
      <c r="C3" s="37" t="s">
        <v>88</v>
      </c>
      <c r="D3" s="37"/>
      <c r="E3" s="37"/>
      <c r="F3" s="56" t="s">
        <v>89</v>
      </c>
    </row>
    <row r="4" spans="1:7" ht="25.5" customHeight="1" x14ac:dyDescent="0.2">
      <c r="A4" s="57"/>
      <c r="B4" s="57"/>
      <c r="C4" s="46" t="s">
        <v>91</v>
      </c>
      <c r="D4" s="46" t="s">
        <v>443</v>
      </c>
      <c r="E4" s="46" t="s">
        <v>93</v>
      </c>
      <c r="F4" s="57"/>
    </row>
    <row r="5" spans="1:7" x14ac:dyDescent="0.2">
      <c r="A5" s="10" t="s">
        <v>82</v>
      </c>
      <c r="B5" s="45"/>
      <c r="C5" s="45"/>
      <c r="D5" s="45"/>
      <c r="E5" s="45"/>
      <c r="F5" s="45"/>
      <c r="G5" s="10"/>
    </row>
    <row r="6" spans="1:7" x14ac:dyDescent="0.2">
      <c r="A6" s="41" t="s">
        <v>442</v>
      </c>
      <c r="B6" s="45">
        <f>(79596+13011+94391+55905+521342+48529+32912+13991+11392+280843+195905+11010+18474+144365+79496+27594+31836+95395+88024+12758+69430+66007+114397+54008+63824+78632+10388+19837+40307+5376+94985+43957+255941+134750+6011+123094+59208+39776+124176+10062+81130+7561+113752+593791+22793+6622+91222+57404+42428+53683+4155+0+3258+0+25942+0+275+0+269621+0)/1000</f>
        <v>4644.5720000000001</v>
      </c>
      <c r="C6" s="45">
        <f>(0+0+0+0+0+0+0+0+0+0+0+0+0+0+0+0+0+0+0+0+0+0+0+0+0+0+0+0+0+0+0+0+0+0+0+0+0+0+0+0+0+0+0+0+0+0+0+0+0+0+0+0+0+0+0+0+0+0+0+0)/1000</f>
        <v>0</v>
      </c>
      <c r="D6" s="45">
        <f>(87459+14296+103715+61428+572843+53323+36163+15373+12517+308586+215258+12098+20299+158626+87349+30320+34981+104819+96720+14018+76289+72528+125698+59343+70129+86400+11414+21797+44289+5907+104368+48299+281224+148061+6605+135254+65057+43705+136443+11056+89144+8308+124989+652449+25045+7276+100233+63075+46619+58986+4565+0+3580+0+28505+0+302+0+0+0)/1000</f>
        <v>4807.1329999999998</v>
      </c>
      <c r="E6" s="45">
        <f>SUM(C6:D6)</f>
        <v>4807.1329999999998</v>
      </c>
      <c r="F6" s="45">
        <f>(89681+14660+106351+62989+587400+54678+37082+15764+12835+316428+220728+12405+20815+162657+89569+31090+35870+107482+99177+14375+78227+74371+128892+60851+71911+88595+11704+22350+45414+6057+107020+49527+288371+151824+6773+138691+66710+44816+139910+11337+91410+8519+128165+669029+25681+7461+102781+64678+47804+60485+4681+0+3671+0+29229+0+310+0+0+0)/1000</f>
        <v>4929.2910000000002</v>
      </c>
    </row>
    <row r="7" spans="1:7" x14ac:dyDescent="0.2">
      <c r="A7" s="41" t="s">
        <v>441</v>
      </c>
      <c r="B7" s="45">
        <f>(214168+37883+275636+136776+1511045+134052+106076+36121+27747+894540+529881+46421+53083+462592+262958+110921+106817+232240+245105+33762+179171+198930+309536+169411+170259+211068+28843+75691+103301+21353+262027+101724+784246+376053+22011+357805+167688+115843+396665+30594+210498+29023+284569+1509891+101037+15875+242989+200052+81246+171224+14857+0+8773+0+110701+0+2137+0+237799+0)/1000</f>
        <v>12760.714</v>
      </c>
      <c r="C7" s="45">
        <f>(36117+6388+46483+23066+254819+22606+17888+6091+4679+150853+89358+7828+8952+78010+44345+18705+18013+39164+41334+5694+30215+33547+52199+28569+28712+35594+4864+12764+17420+3601+44188+17154+132253+63417+3712+60339+28279+19535+66893+5159+35498+4894+47989+254624+17039+2677+40977+33736+13701+28875+2505+0+1479+0+18668+0+360+0+0+0)/1000</f>
        <v>2111.8290000000002</v>
      </c>
      <c r="D7" s="45">
        <f>(190399+33679+245045+121596+1343346+119175+94303+32112+24668+795262+471074+41269+47192+411253+233774+98611+94962+206465+217903+30015+159286+176852+275183+150609+151363+187643+25642+67291+91836+18983+232947+90434+697209+334318+19568+318095+149078+102986+352642+27199+187136+25802+252987+1342320+89824+14113+216022+177850+72229+152221+13208+0+7799+0+98415+0+1900+0+0+0)/1000</f>
        <v>11133.093000000001</v>
      </c>
      <c r="E7" s="45">
        <f>SUM(C7:D7)</f>
        <v>13244.922</v>
      </c>
      <c r="F7" s="45">
        <f>(234320+41448+301572+149646+1653225+146665+116057+39520+30358+978711+579739+50789+58078+506119+287701+121358+116868+254092+268168+36939+196030+217648+338661+185351+186279+230928+31557+82813+113021+23362+286682+111296+858039+411437+24082+391472+183466+126743+433989+33473+230305+31754+311345+1651962+110544+17369+265853+218876+88891+187335+16255+0+9598+0+121117+0+2338+0+0+0)/1000</f>
        <v>13701.244000000001</v>
      </c>
    </row>
    <row r="8" spans="1:7" x14ac:dyDescent="0.2">
      <c r="A8" s="41" t="s">
        <v>440</v>
      </c>
      <c r="B8" s="45">
        <f>(101634+19990+112669+63026+953185+64601+42256+14531+13210+356466+193364+29410+29352+200827+101769+39593+40966+86827+113843+17883+104631+76857+164331+92976+74840+91818+14613+29420+48766+9359+147454+36236+450731+180463+12971+151684+55888+70328+181187+16981+84650+16218+114389+511128+43266+12425+102783+126441+33527+81053+7806+7206+9606+4610+196664+0+6316+59661+14315+0)/1000</f>
        <v>6039</v>
      </c>
      <c r="C8" s="45">
        <f>(17228+3389+19099+10684+161578+10951+7163+2463+2239+60426+32778+4985+4976+34043+17251+6712+6944+14718+19298+3031+17736+13028+27856+15761+12686+15564+2477+4987+8267+1586+24996+6143+76405+30591+2199+25713+9474+11922+30714+2879+14349+2749+19391+86644+7334+2106+17423+21434+5683+13740+1323+1222+1628+781+33337+0+1071+10113+0+0)/1000</f>
        <v>1021.268</v>
      </c>
      <c r="D8" s="45">
        <f>(77021+15149+85384+47763+722350+48956+32023+11012+10011+270140+146536+22288+22244+152192+77123+30005+31045+65800+86273+13552+79292+58244+124534+70460+56716+69582+11074+22295+36956+7093+111745+27461+341576+136760+9830+114950+42353+53296+137308+12869+64150+12290+86687+387347+32788+9416+77892+95820+25408+61424+5916+5461+7280+3494+149037+0+4786+45213+0+0)/1000</f>
        <v>4565.67</v>
      </c>
      <c r="E8" s="45">
        <f>SUM(C8:D8)</f>
        <v>5586.9380000000001</v>
      </c>
      <c r="F8" s="45">
        <f>(97253+19128+107813+60309+912100+61817+40435+13905+12641+341101+185029+28142+28087+192171+97382+37886+39200+83085+108936+17112+100121+73544+157248+88968+71614+87860+13983+28152+46664+8956+141098+34674+431303+172685+12412+145146+53479+67297+173377+16249+81001+15519+109458+489097+41401+11889+98353+120991+32082+77559+7470+6895+9192+4411+188187+0+6044+57089+0+0)/1000</f>
        <v>5765</v>
      </c>
    </row>
    <row r="9" spans="1:7" x14ac:dyDescent="0.2">
      <c r="A9" s="41" t="s">
        <v>439</v>
      </c>
      <c r="B9" s="45">
        <f>(57550+9199+52512+51422+460651+26594+18417+18101+9881+275577+114328+6715+7984+145085+56759+27612+31591+42871+97137+9446+52751+65617+70259+67536+47123+54832+11286+30607+12004+4789+82842+33512+243162+95760+9890+90888+62510+34699+120638+9185+35722+8144+67387+406700+28379+6408+51891+48332+16737+38267+4663+0+459+0+19673+0+604+0+300595+0)/1000</f>
        <v>3753.2829999999999</v>
      </c>
      <c r="C9" s="45">
        <f>(0+0+0+0+0+0+0+0+0+0+0+0+0+0+0+0+0+0+0+0+0+0+0+0+0+0+0+0+0+0+0+0+0+0+0+0+0+0+0+0+0+0+0+0+0+0+0+0+0+0+0+0+0+0+0+0+0+0+0+0)/1000</f>
        <v>0</v>
      </c>
      <c r="D9" s="45">
        <f>(63176+10098+57645+56449+505681+29194+20217+19870+10847+302515+125504+7371+8764+159268+62307+30311+34679+47062+106632+10369+57908+72031+77127+74138+51729+60192+12389+33599+13177+5257+90940+36788+266932+105121+10857+99773+68621+38091+132431+10083+39214+8940+73974+446456+31153+7034+56964+53057+18373+42008+5119+0+504+0+21596+0+663+0+0+0)/1000</f>
        <v>3790.1979999999999</v>
      </c>
      <c r="E9" s="45">
        <f>SUM(C9:D9)</f>
        <v>3790.1979999999999</v>
      </c>
      <c r="F9" s="45">
        <f>(64000+10230+58398+57186+512282+29575+20481+20130+10988+306464+127142+7468+8879+161347+63121+30707+35132+47676+108024+10505+58663+72972+78134+75106+52405+60978+12551+34038+13349+5326+92127+37268+270416+106493+10998+101075+69516+38588+134159+10214+39726+9057+74940+452284+31560+7126+57707+53749+18613+42556+5186+0+510+0+21878+0+672+0+0+0)/1000</f>
        <v>3839.6750000000002</v>
      </c>
    </row>
    <row r="10" spans="1:7" ht="25.5" x14ac:dyDescent="0.2">
      <c r="A10" s="41" t="s">
        <v>438</v>
      </c>
      <c r="B10" s="45">
        <f>(50477+10245+69742+33141+931272+58268+56165+12926+22139+107267+98182+21386+11100+109276+58034+20975+26523+62477+67261+15474+68479+64407+92639+69649+26471+49582+10150+19307+27815+9568+162852+31607+362346+120697+11477+113992+122442+92157+180813+13984+39050+8744+77377+218503+16865+9099+116926+116217+17918+65187+7208+0+2042+0+0+0+4956+0+639344+0)/1000</f>
        <v>4832.2</v>
      </c>
      <c r="C10" s="45">
        <f>(378+77+522+248+6966+436+420+97+166+802+734+160+83+817+434+157+198+467+503+116+512+482+693+521+198+371+76+144+208+72+1218+236+2710+903+86+853+916+689+1352+105+292+65+579+1634+126+68+875+869+134+488+54+0+15+0+0+0+37+0+0+0)/1000</f>
        <v>31.361999999999998</v>
      </c>
      <c r="D10" s="45">
        <f>(66468+13491+91836+43640+1226301+76727+73958+17021+29153+141249+129286+28161+14616+143895+76419+27620+34926+82270+88569+20376+90173+84811+121987+91714+34857+65290+13366+25423+36627+12599+214444+41620+477138+158934+15113+150105+161232+121352+238095+18414+51421+11514+101890+287725+22208+11982+153968+153035+23594+85838+9492+0+2689+0+0+0+6526+0+0+0)/1000</f>
        <v>5521.1580000000004</v>
      </c>
      <c r="E10" s="45">
        <f>SUM(C10:D10)</f>
        <v>5552.52</v>
      </c>
      <c r="F10" s="45">
        <f>(71274+14466+98476+46795+1314964+82275+79305+18252+31260+151462+138634+30197+15673+154299+81944+29617+37451+88218+94973+21849+96693+90943+130807+98345+37377+70010+14332+27262+39275+13510+229948+44629+511635+170425+16206+160958+172889+130126+255309+19746+55139+12347+109257+308528+23814+12848+165100+164099+25300+92045+10178+0+2883+0+0+0+6998+0+0+0)/1000</f>
        <v>5920.3450000000003</v>
      </c>
    </row>
    <row r="11" spans="1:7" x14ac:dyDescent="0.2">
      <c r="A11" s="10" t="s">
        <v>162</v>
      </c>
      <c r="B11" s="45"/>
      <c r="C11" s="45"/>
      <c r="D11" s="45"/>
      <c r="E11" s="45"/>
      <c r="F11" s="45"/>
      <c r="G11" s="10"/>
    </row>
    <row r="12" spans="1:7" x14ac:dyDescent="0.2">
      <c r="A12" s="41" t="s">
        <v>437</v>
      </c>
      <c r="B12" s="45">
        <f>(251981+43993+359591+159313+1988156+152700+125220+51200+50946+853680+533668+49811+59493+678373+268365+97623+98754+238513+338910+55038+239062+237537+488199+169612+209581+243692+48712+73854+129670+39758+362319+129098+1213916+451219+38361+556646+188010+147031+644635+52883+243788+48573+309747+1511186+81378+36687+266414+228027+97078+207351+35889+19323+20936+11680+396257+1000+10081+110284+5000+0)/1000</f>
        <v>15759.802</v>
      </c>
      <c r="C12" s="45">
        <f>(0+0+0+0+0+0+0+0+0+0+0+0+0+0+0+0+0+0+0+0+0+0+0+0+0+0+0+0+0+0+0+0+0+0+0+0+0+0+0+0+0+0+0+0+0+0+0+0+0+0+0+0+0+0+0+0+0+0+0+0)/1000</f>
        <v>0</v>
      </c>
      <c r="D12" s="45">
        <f>(256287+45669+339922+157383+1963753+145823+130932+52020+50863+899440+537284+51171+58030+674483+258100+88080+100347+228685+341542+53220+242398+253216+469816+167320+205853+248725+48946+77655+136146+44582+366077+129906+1219769+465918+39503+581305+191580+146067+630584+53635+254610+48946+308792+1511836+81859+36867+279184+256793+100858+204967+38572+19447+21071+11755+405080+1000+10146+110984+5000+0)/1000</f>
        <v>15859.802</v>
      </c>
      <c r="E12" s="45">
        <f>SUM(C12:D12)</f>
        <v>15859.802</v>
      </c>
      <c r="F12" s="45">
        <f>(256694+45595+336332+154958+1961726+144239+131254+52070+51315+906152+538193+51359+57678+676906+256267+86312+99793+225728+339916+52424+244493+254427+465877+167496+203775+248134+48946+77976+137258+44582+366891+127986+1224057+466316+39503+581230+191524+145835+622183+53779+255159+48946+309388+1517927+82040+36867+281063+257637+101595+205389+38572+19447+21071+11755+408637+1000+10146+110984+5000+0)/1000</f>
        <v>15859.802</v>
      </c>
    </row>
    <row r="13" spans="1:7" x14ac:dyDescent="0.2">
      <c r="A13" s="41" t="s">
        <v>436</v>
      </c>
      <c r="B13" s="45">
        <f>(32913+9790+35422+19979+230384+23360+18479+9790+9790+96873+57738+9790+9790+81325+35890+15794+15993+31896+45152+9790+29195+35496+76804+27326+29747+35115+9790+9988+11747+9790+46046+16334+157361+48647+9790+75142+24405+19825+80447+9790+27010+9790+36483+176878+13851+9790+37195+33289+16324+32629+9790+2456+3878+1513+59343+0+2381+10228+10279+0)/1000</f>
        <v>2055.83</v>
      </c>
      <c r="C13" s="45">
        <f>(0+0+0+0+0+0+0+0+0+0+0+0+0+0+0+0+0+0+0+0+0+0+0+0+0+0+0+0+0+0+0+0+0+0+0+0+0+0+0+0+0+0+0+0+0+0+0+0+0+0+0+0+0+0+0+0+0+0+0+0)/1000</f>
        <v>0</v>
      </c>
      <c r="D13" s="45">
        <f>(33637+9857+37147+20275+229555+23270+17954+9857+9857+102319+61189+9857+9857+79109+36195+15083+15910+31202+44078+9857+28517+34307+72727+26494+29074+35303+9857+10015+13117+9857+45291+16434+148646+52465+9857+74463+25113+19855+76780+9857+28620+9857+37863+183911+14158+9857+37816+34010+15464+31595+9857+2574+3818+1584+57993+0+2252+10228+10279+0)/1000</f>
        <v>2055.83</v>
      </c>
      <c r="E13" s="45">
        <f>SUM(C13:D13)</f>
        <v>2055.83</v>
      </c>
      <c r="F13" s="45">
        <f>(0+0+0+0+0+0+0+0+0+0+0+0+0+0+0+0+0+0+0+0+0+0+0+0+0+0+0+0+0+0+0+0+0+0+0+0+0+0+0+0+0+0+0+0+0+0+0+0+0+0+0+0+0+0+0+0+0+0+0+0)/1000</f>
        <v>0</v>
      </c>
    </row>
    <row r="14" spans="1:7" x14ac:dyDescent="0.2">
      <c r="A14" s="10" t="s">
        <v>168</v>
      </c>
      <c r="B14" s="45"/>
      <c r="C14" s="45"/>
      <c r="D14" s="45"/>
      <c r="E14" s="45"/>
      <c r="F14" s="45"/>
      <c r="G14" s="10"/>
    </row>
    <row r="15" spans="1:7" x14ac:dyDescent="0.2">
      <c r="A15" s="41" t="s">
        <v>435</v>
      </c>
      <c r="B15" s="45">
        <f>(68298+11287+80625+42832+303130+44504+23877+11610+16144+194899+100000+13380+19259+113035+67931+32865+27950+52865+36550+16594+44234+53173+112641+51098+43541+69555+11793+20168+19777+11429+62807+25653+162071+114574+10616+100360+41388+47268+142807+11766+67922+10716+59512+247137+33943+11334+77851+63321+29402+65053+10616+898+1902+854+68027+0+2007+40189+0+0)/1000</f>
        <v>3225.038</v>
      </c>
      <c r="C15" s="45">
        <f>(0+0+0+0+0+0+0+0+0+0+0+0+0+0+0+0+0+0+0+0+0+0+0+0+0+0+0+0+0+0+0+0+0+0+0+0+0+0+0+0+0+0+0+0+0+0+0+0+0+0+0+0+0+0+0+0+0+0+0+0)/1000</f>
        <v>0</v>
      </c>
      <c r="D15" s="45">
        <f>(65444+10869+74903+39380+303662+45794+21669+10869+14926+201825+117372+12724+19958+115032+77553+33506+28476+59009+57833+16442+45197+48769+113124+50671+44681+70929+12071+18559+28377+10926+62094+26189+148454+117826+10869+134105+42141+43265+129097+10869+62883+10869+78418+261101+35086+10869+72080+59164+26741+62090+10869+919+3053+854+68073+0+2099+43000+0+0)/1000</f>
        <v>3303.627</v>
      </c>
      <c r="E15" s="45">
        <f>SUM(C15:D15)</f>
        <v>3303.627</v>
      </c>
      <c r="F15" s="45">
        <f>(71666+11886+84556+43183+312626+51029+23336+11886+16181+223973+127404+13679+22038+123959+84952+37749+32801+64758+64741+17684+48945+51582+122348+55469+49265+78320+13158+20783+30954+12137+67048+28931+157599+128858+11886+146253+50472+46273+140270+11886+68403+11886+85195+306728+37997+11886+80132+63013+29411+68056+11886+992+3330+934+71299+0+2268+44100+0+0)/1000</f>
        <v>3610.04</v>
      </c>
    </row>
    <row r="16" spans="1:7" x14ac:dyDescent="0.2">
      <c r="A16" s="41" t="s">
        <v>434</v>
      </c>
      <c r="B16" s="45">
        <f>(190496+38805+211326+117333+1281755+167501+139540+37782+19667+674522+361395+41721+59267+530734+271332+128161+111928+165732+197709+57443+209868+297999+418812+198984+125613+238430+39555+78387+80286+49814+379451+95617+796285+353310+31761+457817+155678+135039+446897+45907+185646+37415+249312+1068319+120755+30624+298100+231413+79725+218219+32127+6369+14121+4839+127835+6579+8975+0+0+21000+96818+0)/1000</f>
        <v>12277.85</v>
      </c>
      <c r="C16" s="45">
        <f>(0+0+0+0+0+0+0+0+0+0+0+0+0+0+0+0+0+0+0+0+0+0+0+0+0+0+0+0+0+0+0+0+0+0+0+0+0+0+0+0+0+0+0+0+0+0+0+0+0+0+0+0+0+0+0+0+0+0+0+0+0+0)/1000</f>
        <v>0</v>
      </c>
      <c r="D16" s="45">
        <f>(191704+39093+215703+118077+1289887+168564+140425+38070+20101+678801+363688+41986+59643+534101+273053+128974+112638+166784+198964+57807+211199+299889+421469+200247+126410+239942+39843+78884+82056+50130+381858+96223+801336+355552+32461+460721+156666+135895+449732+46198+186823+37703+250893+1075096+121521+31299+299991+232882+80231+219604+32836+7130+16818+5089+128646+6579+8975+0+0+20000+97500+0)/1000</f>
        <v>12364.39</v>
      </c>
      <c r="E16" s="45">
        <f>SUM(C16:D16)</f>
        <v>12364.39</v>
      </c>
      <c r="F16" s="45">
        <f>(191704+39093+218939+118077+1289887+168564+140425+38070+20402+678801+364369+41986+59721+534101+273053+128974+112638+166784+198964+57807+211199+299889+421469+200247+126410+239942+39843+78884+83287+50130+381858+96223+801336+355552+32948+460721+156666+135895+449732+46198+186823+37703+250893+1075096+123344+31769+299991+232882+80231+219604+33328+7130+16818+5089+129847+6579+8975+0+0+10000+97500+0)/1000</f>
        <v>12364.39</v>
      </c>
    </row>
    <row r="17" spans="1:7" x14ac:dyDescent="0.2">
      <c r="A17" s="10" t="s">
        <v>175</v>
      </c>
      <c r="B17" s="45"/>
      <c r="C17" s="45"/>
      <c r="D17" s="45"/>
      <c r="E17" s="45"/>
      <c r="F17" s="45"/>
      <c r="G17" s="10"/>
    </row>
    <row r="18" spans="1:7" x14ac:dyDescent="0.2">
      <c r="A18" s="41" t="s">
        <v>433</v>
      </c>
      <c r="B18" s="45">
        <f>(93007+44397+199407+56546+3637503+135608+265908+32184+92304+560484+329650+98578+30307+583126+206117+130558+101360+180689+163431+77863+228342+457855+772794+259826+86481+216335+37889+56627+43762+38394+402702+109920+2434869+300438+26313+725567+144794+166041+717126+94708+99638+21207+190892+484652+75356+47197+157763+379058+109813+312846+18429+0+3454+0+71326+0+2837+197477+0+0)/1000</f>
        <v>16511.755000000001</v>
      </c>
      <c r="C18" s="45">
        <f>(0+0+0+0+0+0+0+0+0+0+0+0+0+0+0+0+0+0+0+0+0+0+0+0+0+0+0+0+0+0+0+0+0+0+0+0+0+0+0+0+0+0+0+0+0+0+0+0+0+0+0+0+0+0+0+0+0+0+0+0)/1000</f>
        <v>0</v>
      </c>
      <c r="D18" s="45">
        <f>(93007+44397+199407+56546+3636708+135608+265908+32184+92304+560484+329650+98578+30307+583126+206117+130558+101478+180689+163432+77863+228342+457855+772794+259569+86481+216335+37889+56627+43762+38394+402702+109921+2434870+300438+26313+725566+144793+165835+717125+94708+99638+21207+190892+484652+75356+47197+157763+379058+109813+312846+18429+0+3454+0+71326+0+2837+198734+0+0)/1000</f>
        <v>16511.871999999999</v>
      </c>
      <c r="E18" s="45">
        <f t="shared" ref="E18:E27" si="0">SUM(C18:D18)</f>
        <v>16511.871999999999</v>
      </c>
      <c r="F18" s="45">
        <f>(83984+40090+180061+51060+3283873+122451+240109+29062+83349+506106+297668+89014+27367+526551+186119+117891+91632+163159+147575+70309+206188+413434+697818+234386+78091+195347+34213+51133+39517+34669+363631+99255+2198638+271289+23760+655171+130745+149746+647549+85519+89971+19150+172371+437631+68045+42618+142457+342282+99159+282494+16641+0+3119+0+64406+0+2562+179453+0+0)/1000</f>
        <v>14909.888000000001</v>
      </c>
    </row>
    <row r="19" spans="1:7" x14ac:dyDescent="0.2">
      <c r="A19" s="41" t="s">
        <v>432</v>
      </c>
      <c r="B19" s="45">
        <f>(47908+16473+45663+35125+663486+60238+51021+20127+17881+198123+84929+15898+22777+123617+76155+41431+28489+44094+53226+20844+82749+77738+153348+121614+30408+59302+11975+26859+53906+16990+194383+29430+238730+109374+12906+246019+40718+78916+190189+9779+76763+8179+84579+341435+28680+10490+76919+106094+27876+79603+8139+0+4379+0+24439+0+3525+48954+0+0)/1000</f>
        <v>4382.8919999999998</v>
      </c>
      <c r="C19" s="45">
        <f>(0+0+0+0+0+0+0+0+0+0+0+0+0+0+0+0+0+0+0+0+0+0+0+0+0+0+0+0+0+0+0+0+0+0+0+0+0+0+0+0+0+0+0+0+0+0+0+0+0+0+0+0+0+0+0+0+0+0+0+0)/1000</f>
        <v>0</v>
      </c>
      <c r="D19" s="45">
        <f>(49317+16958+47005+36157+682993+62009+52521+20719+18406+203947+87426+16365+23446+127251+78394+42649+29327+45390+54790+21456+85181+80023+157856+125189+31302+61045+12327+27649+55491+17490+200098+30296+245748+112590+13286+253253+41915+81237+195780+10067+79020+8420+87065+351472+29523+10798+79180+109213+28695+81943+8379+0+4508+0+25157+0+3629+49786+0+0)/1000</f>
        <v>4511.1369999999997</v>
      </c>
      <c r="E19" s="45">
        <f t="shared" si="0"/>
        <v>4511.1369999999997</v>
      </c>
      <c r="F19" s="45">
        <f>(49156+16902+46852+36039+680760+61806+52349+20651+18346+203280+87140+16312+23369+126835+78138+42510+29231+45242+54611+21386+84903+79762+157340+124780+31199+60846+12287+27558+55310+17433+199444+30197+244945+112222+13242+252425+41778+80971+195140+10034+78761+8392+86781+350324+29426+10763+78921+108856+28601+81675+8351+0+4493+0+25075+0+3617+50633+0+0)/1000</f>
        <v>4497.3999999999996</v>
      </c>
    </row>
    <row r="20" spans="1:7" x14ac:dyDescent="0.2">
      <c r="A20" s="41" t="s">
        <v>431</v>
      </c>
      <c r="B20" s="45">
        <f>(51251+11020+26702+31138+191121+53183+80749+13655+11151+91512+72366+5005+20427+171038+77435+54884+36176+53579+48125+38800+81688+147627+161307+116990+32531+81065+20779+31518+13139+27999+127431+18756+374483+95617+20789+154078+36846+36059+214815+26862+43111+18749+63979+152270+25219+20376+91765+58193+30987+105308+9903+301+660+229+16376+0+624+40095+0+2988+0+0+0)/1000</f>
        <v>3640.8290000000002</v>
      </c>
      <c r="C20" s="45">
        <f>(0+0+0+0+0+0+0+0+0+0+0+0+0+0+0+0+0+0+0+0+0+0+0+0+0+0+0+0+0+0+0+0+0+0+0+0+0+0+0+0+0+0+0+0+0+0+0+0+0+0+0+0+0+0+0+0+0+0+0+0+0+0+0)/1000</f>
        <v>0</v>
      </c>
      <c r="D20" s="45">
        <f>(54417+11090+28519+30859+206353+54337+76052+13086+11302+97739+77290+5062+20705+173936+77748+55106+36838+55279+51413+38726+79769+137656+166932+117463+32531+81028+21062+31947+14033+27554+125281+20116+375998+97659+21072+156515+38552+36207+208574+23922+45958+19004+66315+162631+25562+20653+92221+58484+31409+105734+10038+305+669+232+16598+0+632+41143+0+2988+0+0+0)/1000</f>
        <v>3690.3040000000001</v>
      </c>
      <c r="E20" s="45">
        <f t="shared" si="0"/>
        <v>3690.3040000000001</v>
      </c>
      <c r="F20" s="45">
        <f>(0+0+0+0+0+0+0+0+0+0+0+0+0+0+0+0+0+0+0+0+0+0+0+0+0+0+0+0+0+0+0+0+0+0+0+0+0+0+0+0+0+0+0+0+0+0+0+0+0+0+0+0+0+0+0+0+0+0+0+0+0+0+0)/1000</f>
        <v>0</v>
      </c>
    </row>
    <row r="21" spans="1:7" x14ac:dyDescent="0.2">
      <c r="A21" s="41" t="s">
        <v>430</v>
      </c>
      <c r="B21" s="45">
        <f>(93653+9253+127028+59182+533254+62659+32539+13506+8269+305215+210078+17833+29794+172946+113903+43741+44984+94217+90419+16030+64638+64000+146977+68136+68985+94586+14599+27925+47048+10345+89707+42666+224600+170412+8139+168965+70890+58378+150325+11735+90489+12775+118502+521274+58599+6554+97681+86884+31980+74641+6259+6835+9849+4276+52626+0+5170+300495+0+25823+1325+18994+0)/1000</f>
        <v>5212.59</v>
      </c>
      <c r="C21" s="45">
        <f>(0+0+0+0+0+0+0+0+0+0+0+0+0+0+0+0+0+0+0+0+0+0+0+0+0+0+0+0+0+0+0+0+0+0+0+0+0+0+0+0+0+0+0+0+0+0+0+0+0+0+0+0+0+0+0+0+0+0+0+0+0+0+0)/1000</f>
        <v>0</v>
      </c>
      <c r="D21" s="45">
        <f>(94691+9355+128436+59839+539166+63353+32900+13656+8361+308599+212407+18031+30124+174863+115166+44226+45482+95262+91422+16208+65354+64710+148607+68891+69750+95635+14761+28234+47570+10459+90702+43139+227091+172302+8230+170839+71677+59025+151991+11866+91493+12917+119816+527053+59249+6627+98764+87848+32335+75469+6329+6901+9943+4317+53210+0+5219+301870+0+26380+1500+26380+0)/1000</f>
        <v>5276</v>
      </c>
      <c r="E21" s="45">
        <f t="shared" si="0"/>
        <v>5276</v>
      </c>
      <c r="F21" s="45">
        <f>(94691+9355+128436+59839+539166+63353+32900+13656+8361+308599+212407+18031+30124+174863+115166+44226+45482+95262+91422+16208+65354+64710+148607+68891+69750+95635+14761+28234+47570+10459+90702+43139+227091+172302+8230+170839+71677+59025+151991+11866+91493+12917+119816+527053+59249+6627+98764+87848+32335+75469+6329+6901+9943+4317+53210+0+5219+301870+0+26380+1500+26380+0)/1000</f>
        <v>5276</v>
      </c>
    </row>
    <row r="22" spans="1:7" x14ac:dyDescent="0.2">
      <c r="A22" s="41" t="s">
        <v>429</v>
      </c>
      <c r="B22" s="45">
        <f>(16442+3545+19827+5300+85592+10174+18738+5179+4567+43027+36548+4972+2868+56874+26182+8508+9812+16702+13865+3019+23301+44973+32082+23368+6293+24669+3191+10595+2580+4582+26374+8308+101983+69638+2506+70125+24910+19409+55337+6634+9867+1711+37702+59844+12592+3945+21329+41883+8727+24511+2815+0+0+0+0+0+0+58340+0+14585+4000+0)/1000</f>
        <v>1254.45</v>
      </c>
      <c r="C22" s="45">
        <f>(0+0+0+0+0+0+0+0+0+0+0+0+0+0+0+0+0+0+0+0+0+0+0+0+0+0+0+0+0+0+0+0+0+0+0+0+0+0+0+0+0+0+0+0+0+0+0+0+0+0+0+0+0+0+0+0+0+0+0+0+0+0)/1000</f>
        <v>0</v>
      </c>
      <c r="D22" s="45">
        <f>(16442+3545+19827+5300+85592+10174+18738+5179+4567+43027+36548+4972+2868+56874+26182+8508+9812+16702+13865+3019+23301+44973+32082+23368+6293+24669+3191+10595+2580+4582+26374+8308+101984+69639+2506+70124+24910+19409+55337+6634+9867+1711+37702+59843+12592+3945+21329+41883+8727+24511+2815+0+0+0+0+0+0+58340+0+14585+14585+0)/1000</f>
        <v>1265.0350000000001</v>
      </c>
      <c r="E22" s="45">
        <f t="shared" si="0"/>
        <v>1265.0350000000001</v>
      </c>
      <c r="F22" s="45">
        <f>(16442+3545+19827+5300+85592+10174+18738+5179+4567+43027+36548+4972+2868+56873+26182+8508+9812+16702+13865+3019+23301+44973+32082+23368+6293+24669+3191+10595+2580+4582+26374+8308+101984+69639+2506+70125+24910+19409+55337+6634+9867+1711+37702+59844+12592+3945+21329+41882+8727+24511+2815+0+0+0+0+0+0+64240+0+16060+16060+0)/1000</f>
        <v>1273.885</v>
      </c>
    </row>
    <row r="23" spans="1:7" x14ac:dyDescent="0.2">
      <c r="A23" s="41" t="s">
        <v>428</v>
      </c>
      <c r="B23" s="45">
        <f>(24674+4316+38130+16595+215042+29732+16618+4625+2912+95591+58649+7257+9800+66329+36832+17177+16404+23784+26403+5634+30490+31966+48724+30250+16422+32609+5358+10811+15197+5953+46356+11739+98708+53573+4271+60869+22880+20242+62345+4668+24675+5116+33745+171126+21904+2729+42443+37498+8863+29024+3220+0+0+0+0+0+0+0+0+0)/1000</f>
        <v>1710.278</v>
      </c>
      <c r="C23" s="45">
        <f>(0+0+0+0+0+0+0+0+0+0+0+0+0+0+0+0+0+0+0+0+0+0+0+0+0+0+0+0+0+0+0+0+0+0+0+0+0+0+0+0+0+0+0+0+0+0+0+0+0+0+0+0+0+0+0+0+0+0+0+0)/1000</f>
        <v>0</v>
      </c>
      <c r="D23" s="45">
        <f>(23832+4168+36830+16029+207711+28718+16052+4467+2812+92331+56650+7010+9466+64067+35577+16591+15845+22973+25503+5442+29450+30876+47063+29219+15862+31498+5176+10442+14678+5750+44776+11339+95343+51746+4125+58794+22100+19552+60220+4509+23833+4941+32595+165291+21158+2636+40995+36219+8561+28034+3110+0+0+0+0+0+0+0+0+0)/1000</f>
        <v>1651.9649999999999</v>
      </c>
      <c r="E23" s="45">
        <f t="shared" si="0"/>
        <v>1651.9649999999999</v>
      </c>
      <c r="F23" s="45">
        <f>(27961+4890+43209+18805+243689+33693+18832+5241+3299+108325+66462+8224+11106+75165+41739+19465+18590+26952+29921+6385+34551+36225+55215+34280+18609+36954+6072+12251+17221+6746+52532+13303+111858+60710+4840+68978+25928+22939+70651+5290+27962+5797+38241+193922+24822+3092+48097+42493+10044+32890+3649+0+0+0+0+0+0+0+0+0)/1000</f>
        <v>1938.115</v>
      </c>
    </row>
    <row r="24" spans="1:7" x14ac:dyDescent="0.2">
      <c r="A24" s="41" t="s">
        <v>427</v>
      </c>
      <c r="B24" s="45">
        <f>(143507+16991+151262+92082+1173974+103820+66995+19519+31914+376991+236460+29002+31755+363170+138389+67693+71953+156021+188036+37488+102761+143821+322772+103368+206566+167211+32050+50954+38248+18834+171817+69904+564746+210677+22657+341431+119170+89625+314025+30584+116935+25418+161868+642484+61626+19665+137254+149498+67331+130870+18038+3778+3076+3311+302032+1734+10173+260491+0+393416+235974+92031+101767+0)/1000</f>
        <v>9557.0130000000008</v>
      </c>
      <c r="C24" s="45">
        <f>(0+0+0+0+0+0+0+0+0+0+0+0+0+0+0+0+0+0+0+0+0+0+0+0+0+0+0+0+0+0+0+0+0+0+0+0+0+0+0+0+0+0+0+0+0+0+0+0+0+0+0+0+0+0+0+0+0+0+0+0+0+0+0+0)/1000</f>
        <v>0</v>
      </c>
      <c r="D24" s="45">
        <f>(146151+17304+154047+93773+1195614+105732+68231+19877+32501+383931+240816+29537+32341+369864+140939+68943+73282+158897+191502+38179+104658+146474+328720+105274+210377+170292+32640+51893+38950+19182+174983+71193+575159+214550+23075+347727+121363+91276+319812+31147+119087+25887+164851+654324+62761+20027+139784+152253+68573+133280+18371+3848+3133+3372+307607+1766+10361+265291+0+400668+246212+771546+109291+0)/1000</f>
        <v>10422.499</v>
      </c>
      <c r="E24" s="45">
        <f t="shared" si="0"/>
        <v>10422.499</v>
      </c>
      <c r="F24" s="45">
        <f>(146151+17304+154047+93773+1195614+105732+68231+19877+32501+383931+240816+29537+32341+369864+140939+68943+73282+158897+191502+38179+104658+146474+328720+105274+210377+170292+32640+51893+38950+19182+174983+71193+575160+214550+23075+347727+121363+91276+319812+31147+119087+25887+164851+654324+62761+20027+139784+152253+68573+133280+18371+3848+3133+3372+307607+1766+10361+265291+0+400668+243679+418519+105446+0)/1000</f>
        <v>10063.094999999999</v>
      </c>
    </row>
    <row r="25" spans="1:7" x14ac:dyDescent="0.2">
      <c r="A25" s="41" t="s">
        <v>426</v>
      </c>
      <c r="B25" s="45">
        <f>(36821+23883+179805+41223+1457008+68739+76502+6389+45952+252213+90031+19662+13960+184619+13593+19700+25702+52607+52479+17213+67405+136368+118709+60736+25751+52441+16562+19325+49617+15077+90859+20961+331402+107311+13908+210179+64280+105689+192436+11548+40627+6374+54449+202555+28624+10478+71888+81369+54127+67240+4510+0+0+0+4151+0+0+7700+0+31605+0)/1000</f>
        <v>5054.3620000000001</v>
      </c>
      <c r="C25" s="45">
        <f>(0+0+0+0+0+0+0+0+0+0+0+0+0+0+0+0+0+0+0+0+0+0+0+0+0+0+0+0+0+0+0+0+0+0+0+0+0+0+0+0+0+0+0+0+0+0+0+0+0+0+0+0+0+0+0+0+0+0+0+0+0)/1000</f>
        <v>0</v>
      </c>
      <c r="D25" s="45">
        <f>(37288+24186+182083+41746+1475468+69610+77471+6470+46534+255409+91172+19911+14137+186959+13765+19950+26027+53274+53144+17431+68259+138096+120213+61506+26077+53106+16772+19570+50246+15268+92011+21227+335600+108671+14084+212841+65094+107028+194875+11694+41142+6454+55139+205122+28986+10611+72799+82400+54813+68092+4567+0+0+0+4204+0+0+7716+0+30279+0)/1000</f>
        <v>5116.5969999999998</v>
      </c>
      <c r="E25" s="45">
        <f t="shared" si="0"/>
        <v>5116.5969999999998</v>
      </c>
      <c r="F25" s="45">
        <f>(38380+24894+187416+42968+1518685+71649+79740+6659+47897+262890+93842+20494+14551+192435+14168+20534+26790+54834+54701+17942+70259+142141+123734+63307+26841+54661+17264+20143+51718+15715+94706+21848+345430+111854+14497+219076+67001+110163+200582+12037+42347+6643+56754+211129+29835+10921+74931+84814+56418+70086+4701+0+0+0+4327+0+0+7848+0+32362+0)/1000</f>
        <v>5267.5619999999999</v>
      </c>
    </row>
    <row r="26" spans="1:7" x14ac:dyDescent="0.2">
      <c r="A26" s="41" t="s">
        <v>425</v>
      </c>
      <c r="B26" s="45">
        <f>(11915+22878+151270+25390+539646+15349+43286+2270+10055+140628+46703+15323+8155+80239+66722+40727+17605+58966+19737+19110+20342+31447+107660+33666+13703+29616+8849+18797+37297+3183+75540+22540+116589+71629+7495+163758+69700+39047+119888+7714+21395+4962+57129+141678+10879+10003+58952+56641+39633+47367+882+0+0+0+934+0+0+90+0+0)/1000</f>
        <v>2784.9789999999998</v>
      </c>
      <c r="C26" s="45">
        <f>(0+0+0+0+0+0+0+0+0+0+0+0+0+0+0+0+0+0+0+0+0+0+0+0+0+0+0+0+0+0+0+0+0+0+0+0+0+0+0+0+0+0+0+0+0+0+0+0+0+0+0+0+0+0+0+0+0+0+0+0)/1000</f>
        <v>0</v>
      </c>
      <c r="D26" s="45">
        <f>(12157+23343+154347+25906+550622+15661+44166+2316+10259+143488+47653+15635+8320+81871+68079+41555+17964+60165+20139+19499+20756+32086+109849+34350+13982+30219+9029+19180+38055+3248+77076+22998+118960+73086+7647+167088+71118+39841+122326+7871+21830+5063+58291+144560+11100+10207+60151+57793+40439+48330+900+0+0+0+953+0+0+160+0+0)/1000</f>
        <v>2841.6869999999999</v>
      </c>
      <c r="E26" s="45">
        <f t="shared" si="0"/>
        <v>2841.6869999999999</v>
      </c>
      <c r="F26" s="45">
        <f>(12586+24168+159795+26821+570062+16214+45726+2398+10622+148553+49336+16187+8614+84761+70483+43022+18598+62289+20850+20187+21488+33219+113727+35563+14475+31286+9348+19857+39399+3362+79797+23810+123159+75666+7917+172987+73628+41247+126644+8148+22600+5242+60348+149663+11492+10567+62275+59833+41867+50036+932+0+0+0+986+0+0+160+0+0)/1000</f>
        <v>2942</v>
      </c>
    </row>
    <row r="27" spans="1:7" x14ac:dyDescent="0.2">
      <c r="A27" s="41" t="s">
        <v>424</v>
      </c>
      <c r="B27" s="45">
        <f>(23764+3625+33868+14602+191791+27073+17476+4652+3328+100721+50381+6980+8224+62553+32412+15317+14206+21682+22876+6506+29399+33285+48514+26973+14604+29773+5094+9320+14366+6522+43706+10169+96483+49581+3704+56752+19172+20002+62469+5162+24242+4230+32500+136148+14909+3052+41103+35612+8947+28237+2861+56+274+55+8213+0+274+0+0+0)/1000</f>
        <v>1587.8</v>
      </c>
      <c r="C27" s="45">
        <f>(0+0+0+0+0+0+0+0+0+0+0+0+0+0+0+0+0+0+0+0+0+0+0+0+0+0+0+0+0+0+0+0+0+0+0+0+0+0+0+0+0+0+0+0+0+0+0+0+0+0+0+0+0+0+0+0+0+0+0+0)/1000</f>
        <v>0</v>
      </c>
      <c r="D27" s="45">
        <f>(23732+3602+34157+14626+192475+27297+17468+4683+3378+102158+50773+6950+8359+62324+32456+15314+14182+21684+22805+6504+29464+33395+48499+27148+14527+29762+5114+9347+14595+6537+43842+10165+96632+50014+3677+56757+19137+20168+62342+5159+24460+4234+32695+137795+15101+3036+41234+36053+8840+28214+2820+57+275+55+8248+0+275+0+0+0)/1000</f>
        <v>1594.6</v>
      </c>
      <c r="E27" s="45">
        <f t="shared" si="0"/>
        <v>1594.6</v>
      </c>
      <c r="F27" s="45">
        <f>(0+0+0+0+0+0+0+0+0+0+0+0+0+0+0+0+0+0+0+0+0+0+0+0+0+0+0+0+0+0+0+0+0+0+0+0+0+0+0+0+0+0+0+0+0+0+0+0+0+0+0+0+0+0+0+0+0+0+0+0)/1000</f>
        <v>0</v>
      </c>
    </row>
    <row r="28" spans="1:7" x14ac:dyDescent="0.2">
      <c r="A28" s="10" t="s">
        <v>202</v>
      </c>
      <c r="B28" s="45"/>
      <c r="C28" s="45"/>
      <c r="D28" s="45"/>
      <c r="E28" s="45"/>
      <c r="F28" s="45"/>
      <c r="G28" s="10"/>
    </row>
    <row r="29" spans="1:7" x14ac:dyDescent="0.2">
      <c r="A29" s="41" t="s">
        <v>423</v>
      </c>
      <c r="B29" s="45">
        <f>(338511+34629+388596+205813+2825935+270403+81968+37330+45825+734065+429677+55380+88438+579663+202328+163436+132007+284025+379958+37827+313409+710910+280390+122348+335501+233717+110278+77075+74884+40496+490175+144059+1306261+508703+23423+458708+263996+395925+558435+77121+163984+28763+493200+1476320+140549+32027+308267+259291+64647+237692+13392+3073+28144+7101+203834+0+7283+0+0+0)/1000</f>
        <v>17309.195</v>
      </c>
      <c r="C29" s="45">
        <f>(0+0+0+0+0+0+0+0+0+0+0+0+0+0+0+0+0+0+0+0+0+0+0+0+0+0+0+0+0+0+0+0+0+0+0+0+0+0+0+0+0+0+0+0+0+0+0+0+0+0+0+0+0+0+0+0+0+0+0+0)/1000</f>
        <v>0</v>
      </c>
      <c r="D29" s="45">
        <f>(396288+30418+251666+167790+3038425+298414+101405+37871+49217+793192+444313+63149+78353+392710+261535+130026+119145+218000+373254+37049+316638+724570+273742+129392+257202+278965+91428+87084+78194+44854+519667+101350+1473123+500692+26680+520821+233625+370148+668188+92975+184648+31233+234625+1510172+135050+28251+378406+236313+77391+272798+13382+4832+32227+11196+182575+0+10948+0+465651+0)/1000</f>
        <v>17881.256000000001</v>
      </c>
      <c r="E29" s="45">
        <f>SUM(C29:D29)</f>
        <v>17881.256000000001</v>
      </c>
      <c r="F29" s="45">
        <f>(417308+32031+265344+176690+3199589+314242+106783+39880+53111+841093+467880+66499+83426+413540+275407+136960+125465+229563+393052+39014+333433+763002+288261+136842+270845+293762+96807+91946+83137+47233+547231+106726+1551260+527752+28217+548447+246017+391333+703631+97907+195156+33088+247535+1600031+142938+29749+398477+251080+81496+287268+14092+5088+33936+11790+192259+0+11528+0+0+0)/1000</f>
        <v>18366.177</v>
      </c>
    </row>
    <row r="30" spans="1:7" x14ac:dyDescent="0.2">
      <c r="A30" s="41" t="s">
        <v>422</v>
      </c>
      <c r="B30" s="45">
        <f>(4229615+1608620+9903728+5394356+83952122+5953835+4703962+2205737+2124366+16934286+8155553+1723710+1614932+14095993+10198299+3509678+2104285+8367569+9015657+1896763+7379536+10989463+12585616+8182997+4393502+7472676+1545439+1271073+3221336+1396102+9946174+4394913+41463081+10038019+954367+16549416+2957516+7490519+18621112+1852642+4629433+595616+7311062+22922756+1873350+1079890+5540650+8220914+3277623+5654368+389280+20749+61698+27208+2927201+0+97072+0+1450150+259487+266558+4388748+0)/1000</f>
        <v>441392.37800000003</v>
      </c>
      <c r="C30" s="45">
        <f>(0+0+0+0+0+0+0+0+0+0+0+0+0+0+0+0+0+0+0+0+0+0+0+0+0+0+0+0+0+0+0+0+0+0+0+0+0+0+0+0+0+0+0+0+0+0+0+0+0+0+0+0+0+0+0+0+0+0+0+0+0+0+0)/1000</f>
        <v>0</v>
      </c>
      <c r="D30" s="45">
        <f>(4527550+1779375+10102480+4966157+61753100+5555426+5092080+1579215+2412352+16330957+7825411+1479734+1601563+12224914+11022924+3725276+2385911+8532471+9640024+1869230+7263597+11115727+13568947+8125767+4534348+7532605+1531613+1288143+3398732+1477344+9843621+4573377+46380819+10162345+860904+16898742+3159129+7917473+19229771+1872169+4593869+561393+8101218+24703496+1888082+1098178+7648303+8455424+3472403+5654390+389019+19426+54484+9777+2656665+0+80134+0+17024906+308315+278000+4175681+0)/1000</f>
        <v>446314.48599999998</v>
      </c>
      <c r="E30" s="45">
        <f>SUM(C30:D30)</f>
        <v>446314.48599999998</v>
      </c>
      <c r="F30" s="45">
        <f>(4806730+1860202+10321899+5078465+59200006+5707347+5048291+1607823+2492380+16448035+8403867+1427597+1666646+12345343+9442569+3819880+2523303+8710812+10169465+1851427+7306668+11170938+14150659+8804451+4621243+7597087+1594775+1347543+3225144+1479632+10067052+4587925+46806990+10475812+793304+17046433+3340436+8036471+21551168+2012091+4640072+567556+8364777+24672989+1879262+1075349+9505692+8703285+3689207+5857638+389711+18426+42406+6700+366700+0+43265+0+24193184+286750+286000+4761408+0)/1000</f>
        <v>458298.28600000002</v>
      </c>
    </row>
    <row r="31" spans="1:7" x14ac:dyDescent="0.2">
      <c r="A31" s="10" t="s">
        <v>217</v>
      </c>
      <c r="B31" s="45"/>
      <c r="C31" s="45"/>
      <c r="D31" s="45"/>
      <c r="E31" s="45"/>
      <c r="F31" s="45"/>
      <c r="G31" s="10"/>
    </row>
    <row r="32" spans="1:7" x14ac:dyDescent="0.2">
      <c r="A32" s="41" t="s">
        <v>421</v>
      </c>
      <c r="B32" s="45">
        <f>(31458+1506+16114+7976+174964+13207+11598+4924+10231+142523+68638+3818+5961+42977+26484+14089+3635+9791+24121+3448+35166+26589+18826+10821+17511+14465+2326+4192+9117+1478+41846+4278+169443+41593+902+24872+8557+6037+39338+6251+36589+940+28274+95267+7487+907+37350+13871+2451+11151+753+33+265+65+50566+103+1677+0+0+0)/1000</f>
        <v>1388.82</v>
      </c>
      <c r="C32" s="45">
        <f>(0+0+0+0+0+0+0+0+0+0+0+0+0+0+0+0+0+0+0+0+0+0+0+0+0+0+0+0+0+0+0+0+0+0+0+0+0+0+0+0+0+0+0+0+0+0+0+0+0+0+0+0+0+0+0+0+0+0+0+0)/1000</f>
        <v>0</v>
      </c>
      <c r="D32" s="45">
        <f>(0+0+0+0+0+0+0+0+0+0+0+0+0+0+0+0+0+0+0+0+0+0+0+0+0+0+0+0+0+0+0+0+0+0+0+0+0+0+0+0+0+0+0+0+0+0+0+0+0+0+0+0+0+0+0+0+0+0+1312486+0)/1000</f>
        <v>1312.4860000000001</v>
      </c>
      <c r="E32" s="45">
        <f>SUM(C32:D32)</f>
        <v>1312.4860000000001</v>
      </c>
      <c r="F32" s="45">
        <f>(0+0+0+0+0+0+0+0+0+0+0+0+0+0+0+0+0+0+0+0+0+0+0+0+0+0+0+0+0+0+0+0+0+0+0+0+0+0+0+0+0+0+0+0+0+0+0+0+0+0+0+0+0+0+0+0+0+0+1315005+0)/1000</f>
        <v>1315.0050000000001</v>
      </c>
    </row>
    <row r="33" spans="1:7" x14ac:dyDescent="0.2">
      <c r="A33" s="10" t="s">
        <v>224</v>
      </c>
      <c r="B33" s="45"/>
      <c r="C33" s="45"/>
      <c r="D33" s="45"/>
      <c r="E33" s="45"/>
      <c r="F33" s="45"/>
      <c r="G33" s="10"/>
    </row>
    <row r="34" spans="1:7" x14ac:dyDescent="0.2">
      <c r="A34" s="41" t="s">
        <v>420</v>
      </c>
      <c r="B34" s="45">
        <f>(24097+7601+38517+9749+236875+15321+14361+9179+59797+45342+24805+9072+10083+107164+17365+13721+10658+14151+13361+11443+24361+46555+33279+22891+11892+18026+10863+9067+14796+10655+47889+12631+291292+28460+8881+41953+11113+18755+75896+11856+14489+8162+16858+115271+9322+8995+23437+32875+13042+15091+7325+1908+1982+1908+10576+50+2343+0+0+0)/1000</f>
        <v>1727.4069999999999</v>
      </c>
      <c r="C34" s="45">
        <f>(0+0+0+0+0+0+0+0+0+0+0+0+0+0+0+0+0+0+0+0+0+0+0+0+0+0+0+0+0+0+0+0+0+0+0+0+0+0+0+0+0+0+0+0+0+0+0+0+0+0+0+0+0+0+0+0+0+0+0+0)/1000</f>
        <v>0</v>
      </c>
      <c r="D34" s="45">
        <f>(0+0+0+0+0+0+0+0+0+0+0+0+0+0+0+0+0+0+0+0+0+0+0+0+0+0+0+0+0+0+0+0+0+0+0+0+0+0+0+0+0+0+0+0+0+0+0+0+0+0+0+0+0+0+0+0+0+0+0+0)/1000</f>
        <v>0</v>
      </c>
      <c r="E34" s="45">
        <f>SUM(C34:D34)</f>
        <v>0</v>
      </c>
      <c r="F34" s="45">
        <f>(0+0+0+0+0+0+0+0+0+0+0+0+0+0+0+0+0+0+0+0+0+0+0+0+0+0+0+0+0+0+0+0+0+0+0+0+0+0+0+0+0+0+0+0+0+0+0+0+0+0+0+0+0+0+0+0+0+0+0+0)/1000</f>
        <v>0</v>
      </c>
    </row>
    <row r="35" spans="1:7" x14ac:dyDescent="0.2">
      <c r="A35" s="10" t="s">
        <v>285</v>
      </c>
      <c r="B35" s="45"/>
      <c r="C35" s="45"/>
      <c r="D35" s="45"/>
      <c r="E35" s="45"/>
      <c r="F35" s="45"/>
      <c r="G35" s="10"/>
    </row>
    <row r="36" spans="1:7" x14ac:dyDescent="0.2">
      <c r="A36" s="41" t="s">
        <v>419</v>
      </c>
      <c r="B36" s="45">
        <f>(64421+5588+88922+42226+494374+27467+37894+13154+13794+177578+155081+11698+14779+156355+94494+60714+24430+40985+47308+20687+53183+127889+127225+63538+28431+100136+8409+27825+22815+20925+101771+32987+307248+44929+5857+199499+26947+39414+281504+21087+44112+6674+49778+285211+21357+8399+53730+62471+35815+92860+3221+1969+3051+1002+82190+0+1930+2203+0+0)/1000</f>
        <v>3989.5410000000002</v>
      </c>
      <c r="C36" s="45">
        <f>(3820+1726+417+0+59689+3376+11033+0+0+35145+5130+8035+1727+92149+5247+1894+5276+1491+21062+462+21416+5170+47087+963+3904+1559+0+771+0+948+14117+700+198186+9466+0+3073+0+517+7040+3210+621+492+0+84985+1538+0+10413+13674+0+3131+369+0+0+0+674+0+0+65980+0+0)/1000</f>
        <v>757.68299999999999</v>
      </c>
      <c r="D36" s="45">
        <f>(41525+2904+54485+25205+328936+33361+27734+6944+15044+113285+78105+5147+11265+74230+60189+34357+23217+41756+26511+17179+28286+94026+109253+50950+25548+61893+8166+17144+22206+11372+72636+17105+281617+70702+5422+146482+26630+34558+180895+13087+36853+6590+49193+151194+19603+7589+50962+45495+20176+57732+3766+942+3060+955+55902+0+1961+65000+0+0)/1000</f>
        <v>2876.33</v>
      </c>
      <c r="E36" s="45">
        <f>SUM(C36:D36)</f>
        <v>3634.0129999999999</v>
      </c>
      <c r="F36" s="45">
        <f>(1962+1789+1164+343+63762+3501+11560+95+205+35688+6262+8215+1422+90185+6137+2387+2585+760+21707+702+22092+6521+12207+1427+3272+843+111+1015+302+1116+13537+942+30028+8192+74+4062+362+648+4974+3432+502+588+670+85431+1826+103+5289+11176+275+3960+51+13+42+13+1445+0+27+0+0+0)/1000</f>
        <v>486.99900000000002</v>
      </c>
    </row>
    <row r="37" spans="1:7" x14ac:dyDescent="0.2">
      <c r="A37" s="41" t="s">
        <v>418</v>
      </c>
      <c r="B37" s="45">
        <f>(0+0+0+0+1797+0+0+0+0+675257+0+0+0+0+0+0+0+0+51435+0+0+0+0+0+0+0+0+0+0+0+0+0+0+37976+0+0+0+0+0+0+78110+0+0+5374028+0+0+0+0+45595+0+0+0+0+0+1507179+0+242684+0+0+0)/1000</f>
        <v>8014.0609999999997</v>
      </c>
      <c r="C37" s="45">
        <f>(0+0+0+0+124155+0+0+0+0+157676+37943+0+0+0+0+0+0+0+0+0+0+0+0+0+0+58535+0+0+0+0+0+0+0+0+0+0+0+0+0+0+0+0+0+652175+0+0+0+0+0+0+0+0+0+0+8220783+0+779217+0+27861+0)/1000</f>
        <v>10058.344999999999</v>
      </c>
      <c r="D37" s="45">
        <f>(0+0+0+0+0+0+0+0+0+0+0+0+0+0+0+0+0+0+0+0+0+0+0+0+0+0+0+0+0+0+0+0+0+0+0+0+0+0+0+0+0+0+0+0+0+0+0+0+0+0+0+0+0+0+0+0+0+0+0+0)/1000</f>
        <v>0</v>
      </c>
      <c r="E37" s="45">
        <f>SUM(C37:D37)</f>
        <v>10058.344999999999</v>
      </c>
      <c r="F37" s="45">
        <f>(0+0+0+0+88219+0+0+0+0+633485+26961+0+0+0+0+0+0+0+1213917+0+0+0+0+0+0+41592+0+0+0+0+0+0+0+168067+0+0+0+0+0+0+213224+0+0+4383085+0+0+0+0+106494+0+0+0+0+0+10217631+0+841841+0+1677500+0)/1000</f>
        <v>19612.016</v>
      </c>
    </row>
    <row r="38" spans="1:7" x14ac:dyDescent="0.2">
      <c r="A38" s="10" t="s">
        <v>289</v>
      </c>
      <c r="B38" s="45"/>
      <c r="C38" s="45"/>
      <c r="D38" s="45"/>
      <c r="E38" s="45"/>
      <c r="F38" s="45"/>
      <c r="G38" s="10"/>
    </row>
    <row r="39" spans="1:7" x14ac:dyDescent="0.2">
      <c r="A39" s="41" t="s">
        <v>417</v>
      </c>
      <c r="B39" s="45">
        <f>(216351+42520+185802+107477+4035488+302306+437496+45837+228962+984806+535762+140657+41501+1012128+227195+106086+71279+218730+373338+95716+633252+1089770+382499+252265+170683+268436+39996+73889+146758+90397+824749+83932+2678584+412471+39108+592763+144381+274710+671349+88536+171800+32352+246374+1166191+81384+59692+448869+604338+81608+170034+16029+0+31201+2915+198627+0+18176+0+0+0)/1000</f>
        <v>21697.555</v>
      </c>
      <c r="C39" s="45">
        <f>(5701+1140+4903+2851+106043+7925+11517+1197+5986+25884+14082+3706+1083+26568+5986+2794+1881+5758+9806+2509+16648+28620+10034+6613+4504+7070+1026+1938+3877+2395+21665+2223+70353+10832+1026+15564+3820+7241+17617+2338+4504+855+6499+30616+2109+1539+11802+15909+2166+4447+399+0+798+57+5245+0+456+0+237347+0)/1000</f>
        <v>807.47199999999998</v>
      </c>
      <c r="D39" s="45">
        <f>(217900+43580+187394+108950+4051940+302881+440158+45759+228795+989266+538213+141635+41401+1014414+228795+106771+71907+220079+374788+95876+636268+1092858+383504+252764+172141+270196+39222+74086+148172+91518+827020+84981+2687886+414010+39222+594867+145993+276733+673311+89339+172141+32685+248406+1169123+80623+58833+451053+607941+82802+169962+15253+0+30506+2179+200468+0+17432+0+302000+0)/1000</f>
        <v>22086</v>
      </c>
      <c r="E39" s="45">
        <f>SUM(C39:D39)</f>
        <v>22893.472000000002</v>
      </c>
      <c r="F39" s="45">
        <f>(220080+44016+189269+110040+4094488+305911+444562+46217+231084+999163+543598+143052+41815+1026573+231084+107839+72626+222281+378538+96835+642634+1105802+387341+255293+173863+272899+39614+74827+149654+92434+837304+85831+2716787+418152+39614+600818+147454+279502+680047+90233+173863+33012+250891+1182830+81430+59422+455566+614023+83630+171662+15406+0+30811+2201+202474+0+17605+0+319000+0)/1000</f>
        <v>22333</v>
      </c>
    </row>
    <row r="40" spans="1:7" x14ac:dyDescent="0.2">
      <c r="A40" s="41" t="s">
        <v>416</v>
      </c>
      <c r="B40" s="45">
        <f>(141714+9376+21484+37340+126382+31304+77770+13378+65722+133229+125810+29126+1406+274853+45079+7878+24180+66874+65603+16415+96979+179750+75917+55089+28822+48516+6267+16141+17011+13642+172116+13043+1124818+115275+3688+209579+44887+19599+353709+40449+54418+3186+101554+170203+4117+3885+78634+59948+20420+19781+2327+0+5023+0+270265+0+22690+0+0+0)/1000</f>
        <v>4766.6710000000003</v>
      </c>
      <c r="C40" s="45">
        <f>(11777+779+1785+3103+10503+2601+6463+1112+5462+11071+10455+2420+117+22841+3746+655+2009+5557+5452+1364+8059+14937+6309+4578+2395+4032+521+1341+1414+1134+14303+1084+93474+9580+306+17416+3730+1629+29394+3361+4522+265+8439+14144+342+323+6535+4982+1697+1644+193+0+417+0+22459+0+1886+0+0+0)/1000</f>
        <v>396.11700000000002</v>
      </c>
      <c r="D40" s="45">
        <f>(132508+8766+20088+34913+118172+29270+72718+12509+61451+124573+117636+27234+1315+256998+42151+7367+22609+62529+61341+15348+90678+168072+70985+51510+26949+45364+5860+15093+15905+12756+160935+12196+1051743+107787+3448+195963+41972+18326+330730+37821+50883+2980+94956+159146+3850+3633+73526+56053+19094+18496+2175+0+4697+0+252707+0+21216+0+0+0)/1000</f>
        <v>4457.0010000000002</v>
      </c>
      <c r="E40" s="45">
        <f>SUM(C40:D40)</f>
        <v>4853.1180000000004</v>
      </c>
      <c r="F40" s="45">
        <f>(85118+5631+12904+22427+75909+18802+46711+8035+39474+80021+75565+17494+845+165085+27076+4732+14523+40166+39403+9859+58248+107963+45598+33088+17311+29140+3764+9695+10217+8194+103378+7834+675598+69238+2215+125879+26961+11772+212448+24295+32685+1914+60996+102229+2473+2334+47230+36006+12265+11881+1397+0+3017+0+162329+0+13628+0+0+0)/1000</f>
        <v>2863</v>
      </c>
    </row>
    <row r="41" spans="1:7" x14ac:dyDescent="0.2">
      <c r="A41" s="41" t="s">
        <v>415</v>
      </c>
      <c r="B41" s="45">
        <f>(83543+3087+10345+30535+94885+16802+35911+6442+21968+71156+88024+13994+1542+156711+33844+7302+17389+51740+57798+8916+35561+84984+48850+46432+21980+38271+4340+13778+6584+8330+89330+9143+626361+65023+5763+108478+25545+11152+169690+20877+32356+3775+65250+106627+4321+2692+45268+35542+13665+25495+1542+0+2236+0+158447+0+9992+0+0+0)/1000</f>
        <v>2759.614</v>
      </c>
      <c r="C41" s="45">
        <f>(2724+101+337+996+3094+548+1171+210+716+2320+2870+456+50+5109+1103+238+567+1687+1884+291+1159+2771+1593+1514+717+1248+142+449+215+272+2913+298+20422+2120+188+3537+833+364+5533+681+1055+123+2127+3477+141+88+1476+1159+446+831+50+0+73+0+5166+0+326+0+0+0)/1000</f>
        <v>89.978999999999999</v>
      </c>
      <c r="D41" s="45">
        <f>(82314+3041+10193+30086+93488+16554+35383+6347+21645+70109+86728+13788+1519+154405+33346+7194+17134+50978+56948+8785+35038+83733+48131+45749+21656+37708+4276+13575+6487+8208+88016+9009+617142+64066+5678+106881+25169+10988+167193+20570+31880+3720+64289+105057+4257+2653+44602+35019+13464+25120+1519+0+2203+0+156115+0+9845+0+0+0)/1000</f>
        <v>2719.0010000000002</v>
      </c>
      <c r="E41" s="45">
        <f>SUM(C41:D41)</f>
        <v>2808.98</v>
      </c>
      <c r="F41" s="45">
        <f>(0+0+0+0+0+0+0+0+0+0+0+0+0+0+0+0+0+0+0+0+0+0+0+0+0+0+0+0+0+0+0+0+0+0+0+0+0+0+0+0+0+0+0+0+0+0+0+0+0+0+0+0+0+0+0+0+0+0+0+0)/1000</f>
        <v>0</v>
      </c>
    </row>
    <row r="42" spans="1:7" x14ac:dyDescent="0.2">
      <c r="A42" s="10" t="s">
        <v>304</v>
      </c>
      <c r="B42" s="45"/>
      <c r="C42" s="45"/>
      <c r="D42" s="45"/>
      <c r="E42" s="45"/>
      <c r="F42" s="45"/>
      <c r="G42" s="10"/>
    </row>
    <row r="43" spans="1:7" x14ac:dyDescent="0.2">
      <c r="A43" s="41" t="s">
        <v>414</v>
      </c>
      <c r="B43" s="45">
        <f>(27290+22995+33452+18507+339561+34575+44055+8357+9901+84302+57288+14254+14441+146223+38151+26107+18663+27697+27420+12777+54172+62006+117133+40675+19109+37210+9255+14361+23989+11176+102475+13161+183979+52277+6997+76499+22357+46700+125948+12346+28030+4906+37281+139426+22751+7181+37993+81025+11473+60010+8528+0+0+0+15274+0+2510+0+0+1850+9990+0)/1000</f>
        <v>2506.069</v>
      </c>
      <c r="C43" s="45">
        <f>(383+339+472+259+4892+492+640+125+216+1187+814+251+205+2062+754+378+270+393+388+194+763+933+1744+567+282+598+143+207+343+162+1491+192+4598+755+98+1132+334+701+1800+187+768+73+1196+1912+324+102+543+2116+176+852+121+0+0+0+213+0+63+0+0+1870+10066+0)/1000</f>
        <v>52.139000000000003</v>
      </c>
      <c r="D43" s="45">
        <f>(25837+22181+32652+17776+317685+33292+43295+7988+8961+78044+57170+12831+13037+141045+32750+24831+16875+25170+25181+12666+48962+56998+111616+37014+17631+31738+8078+14156+23499+10760+97198+12925+165473+49214+6789+68819+20578+45669+112067+12159+27080+4612+29935+129774+22798+6839+36086+73058+10128+54716+7766+0+0+0+12352+0+1598+0+0+0+0+0)/1000</f>
        <v>2317.3519999999999</v>
      </c>
      <c r="E43" s="45">
        <f>SUM(C43:D43)</f>
        <v>2369.491</v>
      </c>
      <c r="F43" s="45">
        <f>(27468+23581+34713+18898+337731+35392+46028+8492+9527+82969+60778+13640+13860+149944+34817+26399+17940+26759+26771+13465+52052+60596+118660+39350+18744+33740+8588+15050+24982+11439+103331+13741+175915+52319+7218+73162+21876+48550+119139+12926+28788+4902+31823+137964+24237+7270+38362+77668+10768+58168+8257+0+0+0+13131+0+1699+0+0+1870+10066+0)/1000</f>
        <v>2475.5230000000001</v>
      </c>
    </row>
    <row r="44" spans="1:7" x14ac:dyDescent="0.2">
      <c r="A44" s="10" t="s">
        <v>309</v>
      </c>
      <c r="B44" s="45"/>
      <c r="C44" s="45"/>
      <c r="D44" s="45"/>
      <c r="E44" s="45"/>
      <c r="F44" s="45"/>
      <c r="G44" s="10"/>
    </row>
    <row r="45" spans="1:7" x14ac:dyDescent="0.2">
      <c r="A45" s="41" t="s">
        <v>413</v>
      </c>
      <c r="B45" s="45">
        <f>(49905+233235+61054+38312+254658+81565+17517+11507+250+203535+80203+28968+23070+165193+55964+51746+32137+58176+75595+32077+32346+45025+81419+61645+35904+55863+42552+27239+27482+19202+13094+26401+89485+80160+57721+44581+42682+54610+72252+1887+66330+20618+95506+224608+51185+11127+62447+92426+27795+54082+22134+24804+20518+8662+17491+673+8242+0+0+0)/1000</f>
        <v>3274.8649999999998</v>
      </c>
      <c r="C45" s="45">
        <f>(12940+51443+16379+8238+66164+17613+5873+2345+342+41293+18899+6594+7782+37697+15778+8793+9586+11008+17195+5773+7659+10120+16996+11905+9481+15573+10104+9520+11273+2923+6115+8457+27211+20760+15714+18976+9647+12908+18085+7018+16268+6773+16694+62670+11910+5686+17763+18793+5194+12965+7958+0+0+0+0+0+0+0+0+0)/1000</f>
        <v>794.85400000000004</v>
      </c>
      <c r="D45" s="45">
        <f>(49109+211680+69258+34343+256210+68741+18141+8851+237+177993+77663+24222+26311+152398+61783+40512+35193+41903+71650+24457+27435+44693+66559+51187+34800+63282+41885+27258+39258+14036+21309+31303+105719+82802+63215+72639+36763+53531+68249+17194+64973+26195+69798+242201+47015+18781+64408+76536+21230+47915+28761+15422+10515+7334+8989+9129+6956+0+0+0)/1000</f>
        <v>3179.93</v>
      </c>
      <c r="E45" s="45">
        <f>SUM(C45:D45)</f>
        <v>3974.7839999999997</v>
      </c>
      <c r="F45" s="45">
        <f>(50795+205291+64592+31927+264362+69545+22436+8281+244+164563+74707+25332+30098+150136+62180+34155+37337+43043+67866+22036+29602+39479+67068+46640+36913+61359+39414+37071+44105+10599+23409+32806+108057+82174+61926+75014+37579+50664+71439+27033+64147+26050+65857+250342+46660+21687+70148+74280+19711+50896+30803+11114+6717+6581+10855+15437+6966+0+0+0)/1000</f>
        <v>3189.5279999999998</v>
      </c>
    </row>
    <row r="46" spans="1:7" x14ac:dyDescent="0.2">
      <c r="A46" s="10" t="s">
        <v>312</v>
      </c>
      <c r="B46" s="45"/>
      <c r="C46" s="45"/>
      <c r="D46" s="45"/>
      <c r="E46" s="45"/>
      <c r="F46" s="45"/>
      <c r="G46" s="10"/>
    </row>
    <row r="47" spans="1:7" x14ac:dyDescent="0.2">
      <c r="A47" s="41" t="s">
        <v>412</v>
      </c>
      <c r="B47" s="45">
        <f>(896484+548878+732343+555817+4052152+730076+535412+208073+266402+2080324+1408081+118567+324458+1533769+1025624+594277+384302+767530+791458+206259+630875+615437+1151768+723642+536226+1036742+459833+324434+357710+182814+924657+433506+1793606+1179722+278268+1414623+687483+517269+1884467+222172+717159+310543+958295+3894962+374604+221347+1140334+705063+493858+816905+296534+2531+9102+3668+266291+0+14865+0+0+0)/1000</f>
        <v>43341.601000000002</v>
      </c>
      <c r="C47" s="45">
        <f>(8098+43722+52834+26041+297846+22791+23664+0+8032+100495+36994+93377+10877+53574+54123+2845+20154+37239+35299+8653+27681+30597+78434+0+24326+46399+38579+16262+25775+8317+34371+3671+97273+57564+0+151731+38273+45552+46715+11006+41497+14190+37256+208194+17471+10933+39924+34943+35885+55450+24909+7659+0+2420+311844+0+25580+0+608861+0)/1000</f>
        <v>3196.2</v>
      </c>
      <c r="D47" s="45">
        <f>(739657+488831+713289+504758+3544252+520865+484796+163745+155553+1847156+1258795+162805+278844+1386033+927011+479133+368418+647766+681316+167835+585837+592078+1026434+629133+466480+918030+399159+281790+353996+161075+973361+352332+1636352+1016775+242037+1305440+618308+485247+1599547+209897+651433+273501+813345+3424757+338528+197508+983084+659665+426053+733551+249756+3304+11967+4694+136527+0+19011+0+7532744+0)/1000</f>
        <v>45833.593999999997</v>
      </c>
      <c r="E47" s="45">
        <f>SUM(C47:D47)</f>
        <v>49029.793999999994</v>
      </c>
      <c r="F47" s="45">
        <f>(779336+521441+751526+531833+4391295+549246+515886+173751+163892+1946249+1326291+173728+293797+1460324+978748+504834+388179+693314+720958+189289+617233+623801+1084756+671102+496808+972445+421454+296903+372967+169711+1025514+377217+1924663+1133976+255017+1380280+651476+513420+1685300+224641+687850+289678+868005+3550365+356682+216857+1045267+696329+448903+772891+263149+15843+12283+4822+150574+0+33428+0+8115300+0)/1000</f>
        <v>49480.826999999997</v>
      </c>
    </row>
    <row r="48" spans="1:7" x14ac:dyDescent="0.2">
      <c r="A48" s="10" t="s">
        <v>319</v>
      </c>
      <c r="B48" s="45"/>
      <c r="C48" s="45"/>
      <c r="D48" s="45"/>
      <c r="E48" s="45"/>
      <c r="F48" s="45"/>
      <c r="G48" s="10"/>
    </row>
    <row r="49" spans="1:7" x14ac:dyDescent="0.2">
      <c r="A49" s="41" t="s">
        <v>411</v>
      </c>
      <c r="B49" s="45">
        <f>(42595+66527+221679+15263+1791190+151095+301879+22296+342896+452524+209295+72885+31611+649654+87238+54629+37617+68543+63499+47695+152007+398323+146546+106868+30410+123406+20258+26142+33836+20070+864933+58713+2482915+137044+20235+250709+60951+113628+494040+47577+76674+16977+120731+514037+107856+28013+159496+217433+23667+68648+14649+1670+0+826+81490+0+0+0+64357+0)/1000</f>
        <v>11815.745000000001</v>
      </c>
      <c r="C49" s="45">
        <f>(23006+35932+119730+8243+967425+81607+163045+12042+185199+244409+113041+39365+17073+350880+47118+29505+20317+37020+34296+25760+82099+215135+79150+57720+16424+66652+10941+14120+18275+10840+467152+31711+1341028+74018+10929+135409+32920+61371+266832+25697+41412+9169+65207+277632+58253+15130+86144+117436+12783+37077+7912+902+0+446+44013+0+0+0+38760+0)/1000</f>
        <v>6385.7120000000004</v>
      </c>
      <c r="D49" s="45">
        <f>(17355+27106+90322+6219+729812+61563+122999+9084+139711+184379+85276+29697+12880+264699+35545+22258+15327+27928+25872+19433+61935+162295+59710+43543+12390+50281+8254+10652+13786+8177+352413+23922+1011653+55838+8245+102150+24834+46297+201294+19385+31240+6917+49191+209442+43945+11414+64986+88592+9643+27970+5969+680+0+337+33203+0+0+0+29240+0)/1000</f>
        <v>4817.2879999999996</v>
      </c>
      <c r="E49" s="45">
        <f>SUM(C49:D49)</f>
        <v>11203</v>
      </c>
      <c r="F49" s="45">
        <f>(40756+63655+212108+14604+1713852+144571+288845+21333+328091+432986+200258+69738+30246+621604+83472+52270+35992+65584+60757+45636+145444+381125+140219+102254+29097+118078+19383+25014+32375+19203+827588+56178+2375711+131127+19362+239885+58319+108722+472709+45523+73363+16244+115518+491842+103199+26804+152610+208045+22645+65684+14016+1597+0+790+77971+0+0+0+71000+0)/1000</f>
        <v>11315.002</v>
      </c>
    </row>
    <row r="50" spans="1:7" x14ac:dyDescent="0.2">
      <c r="A50" s="10" t="s">
        <v>322</v>
      </c>
      <c r="B50" s="45"/>
      <c r="C50" s="45"/>
      <c r="D50" s="45"/>
      <c r="E50" s="45"/>
      <c r="F50" s="45"/>
      <c r="G50" s="10"/>
    </row>
    <row r="51" spans="1:7" x14ac:dyDescent="0.2">
      <c r="A51" s="41" t="s">
        <v>410</v>
      </c>
      <c r="B51" s="45">
        <f>(18098+9703+18166+10606+119067+12969+19862+7959+7959+54726+27367+12831+7959+73389+39072+21942+14609+20598+17948+12550+39212+55045+69911+29799+14583+44944+7959+8170+7959+16202+66333+9366+178948+29209+7994+91270+14184+18315+64221+10886+16609+7959+23511+74102+8543+7959+33180+28194+25273+43930+7959+9323+7725+4779+17503+0+4213+17540+0+6389+847+0)/1000</f>
        <v>1657.4280000000001</v>
      </c>
      <c r="C51" s="45">
        <f>(557+298+336+326+3560+398+610+244+244+1680+842+385+244+2251+1199+674+449+633+547+385+1204+1690+2140+915+448+1380+244+255+244+497+2034+244+5494+898+244+2802+402+562+1971+334+510+244+723+2275+262+244+1019+866+776+1346+244+270+195+125+649+0+157+1016+0+0+30+0)/1000</f>
        <v>50.814999999999998</v>
      </c>
      <c r="D51" s="45">
        <f>(17994+9631+10869+10527+115092+12872+19714+7900+7900+54320+27209+12464+7900+72781+38783+21779+14526+20482+17690+12457+38921+54637+69194+29578+14499+44611+7900+8231+7900+16082+65760+7900+177626+29043+7900+90593+13001+18179+63745+10806+16486+7900+23377+73552+8479+7900+32933+27985+25086+43505+7900+8723+6312+4055+20989+0+5063+32862+0+0+970+0)/1000</f>
        <v>1643.0730000000001</v>
      </c>
      <c r="E51" s="45">
        <f>SUM(C51:D51)</f>
        <v>1693.8880000000001</v>
      </c>
      <c r="F51" s="45">
        <f>(12174+6516+7354+7122+77868+8709+13338+5345+5345+36752+18409+8432+5345+49241+26239+14735+9828+13857+11969+8428+26333+36966+46815+20012+9809+30183+5345+5569+5345+10880+44492+5345+120175+19650+5345+61293+8796+12299+43128+7311+11154+5345+15816+49763+5737+5345+22282+18934+16973+29434+5345+5904+4272+2744+14200+0+3427+30000+0+0+1000+0)/1000</f>
        <v>1119.7719999999999</v>
      </c>
    </row>
    <row r="52" spans="1:7" x14ac:dyDescent="0.2">
      <c r="A52" s="41" t="s">
        <v>409</v>
      </c>
      <c r="B52" s="45">
        <f>(23944+11107+25480+16711+98940+21946+11107+11107+12207+43725+26175+11107+11107+41908+16978+17348+12887+18303+16625+11107+20348+25774+27266+16955+11957+19582+11107+10914+12876+11108+18957+13400+45363+34111+11107+27935+16031+14654+34202+11107+14385+11107+19293+87040+11107+11107+18123+24815+11107+18931+0+4184+4349+5559+8241+0+4084+11171+0+3561+2000+3369+55+0)/1000</f>
        <v>1128.1610000000001</v>
      </c>
      <c r="C52" s="45">
        <f>(734+341+612+512+3004+673+341+341+341+1340+802+341+341+1285+521+539+395+561+510+341+624+790+836+520+367+600+341+341+395+341+581+341+1391+1046+341+856+483+448+1049+341+441+341+591+2668+341+341+556+761+341+580+341+128+119+100+341+0+163+698+0+88+60+0+0+0)/1000</f>
        <v>34.905999999999999</v>
      </c>
      <c r="D52" s="45">
        <f>(23734+11010+19802+16565+97126+21754+11010+11010+11010+43342+25946+11010+11010+41540+16830+17443+12774+18143+16479+11010+20169+25548+27027+16807+11852+19411+11010+11010+12763+11010+18791+11010+44964+33811+11010+27690+15609+14486+33902+11010+14259+11010+19125+86276+11010+11010+17964+24597+11010+18766+11010+4148+3856+3247+11010+0+5265+22567+0+2838+1940+0+0+0)/1000</f>
        <v>1128.346</v>
      </c>
      <c r="E52" s="45">
        <f>SUM(C52:D52)</f>
        <v>1163.252</v>
      </c>
      <c r="F52" s="45">
        <f>(18088+8391+15090+12624+74020+16579+8391+8391+8391+33030+19773+8391+8391+31658+12826+13293+9735+13827+12559+8391+15371+19470+20597+12808+9033+14793+8391+8391+9727+8391+14321+8391+34267+25767+8391+21103+11896+11040+25837+8391+10867+8391+14575+65750+8391+8391+13690+18745+8391+14301+8391+3161+2938+2474+8391+0+4013+20000+0+2158+2000+0+0+0)/1000</f>
        <v>863.23299999999995</v>
      </c>
    </row>
    <row r="53" spans="1:7" x14ac:dyDescent="0.2">
      <c r="A53" s="10" t="s">
        <v>79</v>
      </c>
      <c r="B53" s="45"/>
      <c r="C53" s="45"/>
      <c r="D53" s="45"/>
      <c r="E53" s="45"/>
      <c r="F53" s="45"/>
      <c r="G53" s="10"/>
    </row>
    <row r="54" spans="1:7" x14ac:dyDescent="0.2">
      <c r="A54" s="41" t="s">
        <v>455</v>
      </c>
      <c r="B54" s="45">
        <f>(18188+73769+44606+22711+260243+26850+15310+2680+7424+76489+58487+5378+10391+77303+46694+14769+16685+23550+33329+6304+21648+29135+44503+27422+17747+21665+4582+8260+4711+2559+40956+29742+60331+60597+3338+57842+35915+23574+54314+7543+27115+4543+51015+180384+8577+3487+37419+25730+11758+36992+4428+820+851+695+27638+0+3834+32094+0+0)/1000</f>
        <v>1854.924</v>
      </c>
      <c r="C54" s="45">
        <f>(0+0+0+0+0+0+0+0+0+0+0+0+0+0+0+0+0+0+0+0+0+0+0+0+0+0+0+0+0+0+0+0+0+0+0+0+0+0+0+0+0+0+0+0+0+0+0+0+0+0+0+0+0+0+0+0+0+0+0+0)/1000</f>
        <v>0</v>
      </c>
      <c r="D54" s="45">
        <f>(19079+77384+46792+23824+272995+28166+16060+2811+7788+80237+61353+5642+10900+81091+48982+15493+17503+24704+34962+6613+22709+30563+46684+28766+18617+22727+4807+8665+4942+2684+42963+31199+63287+63566+3502+60676+37675+24729+56975+7913+28444+4766+53515+189223+8997+3658+39253+26991+12334+38805+4645+860+893+729+28992+0+4022+33667+0+0)/1000</f>
        <v>1945.8219999999999</v>
      </c>
      <c r="E54" s="45">
        <f>SUM(C54:D54)</f>
        <v>1945.8219999999999</v>
      </c>
      <c r="F54" s="45">
        <f>(17973+72895+44078+22442+257161+26532+15129+2648+7336+75583+57794+5314+10268+76388+46141+14594+16487+23271+32934+6229+21392+28790+43976+27097+17537+21408+4528+8162+4655+2529+40471+29390+59617+59879+3298+57157+35490+23295+53671+7454+26794+4489+50411+178248+8475+3446+36976+25425+11619+36554+4376+810+841+687+27311+0+3789+31714+0+0)/1000</f>
        <v>1832.9580000000001</v>
      </c>
    </row>
    <row r="55" spans="1:7" ht="15" customHeight="1" x14ac:dyDescent="0.2">
      <c r="A55" s="32" t="s">
        <v>93</v>
      </c>
      <c r="B55" s="31">
        <f>SUM(B5:B54)</f>
        <v>685669.27199999988</v>
      </c>
      <c r="C55" s="31">
        <f>SUM(C5:C54)</f>
        <v>25788.680999999993</v>
      </c>
      <c r="D55" s="31">
        <f>SUM(D5:D54)</f>
        <v>674794.56200000003</v>
      </c>
      <c r="E55" s="31">
        <f>SUM(E5:E54)</f>
        <v>700583.24300000002</v>
      </c>
      <c r="F55" s="31">
        <f>SUM(F5:F54)</f>
        <v>705709.05800000008</v>
      </c>
    </row>
  </sheetData>
  <mergeCells count="3">
    <mergeCell ref="A3:A4"/>
    <mergeCell ref="B3:B4"/>
    <mergeCell ref="F3:F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0" t="s">
        <v>289</v>
      </c>
      <c r="B1" s="8"/>
      <c r="C1" s="8"/>
      <c r="D1" s="8"/>
      <c r="E1" s="8"/>
      <c r="F1" s="8"/>
      <c r="G1" s="10" t="s">
        <v>290</v>
      </c>
    </row>
    <row r="2" spans="1:7" x14ac:dyDescent="0.2">
      <c r="A2" s="11" t="s">
        <v>291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216351</v>
      </c>
      <c r="C6" s="15">
        <v>5701</v>
      </c>
      <c r="D6" s="15">
        <v>217900</v>
      </c>
      <c r="E6" s="15">
        <v>223601</v>
      </c>
      <c r="F6" s="15">
        <v>220080</v>
      </c>
      <c r="G6" s="16">
        <f>IF(AND(F65&lt;&gt;319000,220080&lt;&gt;0),IF(100*220080/(F65-319000)&lt;0.005,"*",100*220080/(F65-319000)),0)</f>
        <v>0.99972744617061871</v>
      </c>
    </row>
    <row r="7" spans="1:7" x14ac:dyDescent="0.2">
      <c r="A7" s="9" t="s">
        <v>95</v>
      </c>
      <c r="B7" s="15">
        <v>42520</v>
      </c>
      <c r="C7" s="15">
        <v>1140</v>
      </c>
      <c r="D7" s="15">
        <v>43580</v>
      </c>
      <c r="E7" s="15">
        <v>44720</v>
      </c>
      <c r="F7" s="15">
        <v>44016</v>
      </c>
      <c r="G7" s="16">
        <f>IF(AND(F65&lt;&gt;319000,44016&lt;&gt;0),IF(100*44016/(F65-319000)&lt;0.005,"*",100*44016/(F65-319000)),0)</f>
        <v>0.19994548923412375</v>
      </c>
    </row>
    <row r="8" spans="1:7" x14ac:dyDescent="0.2">
      <c r="A8" s="9" t="s">
        <v>96</v>
      </c>
      <c r="B8" s="15">
        <v>185802</v>
      </c>
      <c r="C8" s="15">
        <v>4903</v>
      </c>
      <c r="D8" s="15">
        <v>187394</v>
      </c>
      <c r="E8" s="15">
        <v>192297</v>
      </c>
      <c r="F8" s="15">
        <v>189269</v>
      </c>
      <c r="G8" s="16">
        <f>IF(AND(F65&lt;&gt;319000,189269&lt;&gt;0),IF(100*189269/(F65-319000)&lt;0.005,"*",100*189269/(F65-319000)),0)</f>
        <v>0.85976651221949674</v>
      </c>
    </row>
    <row r="9" spans="1:7" x14ac:dyDescent="0.2">
      <c r="A9" s="9" t="s">
        <v>97</v>
      </c>
      <c r="B9" s="15">
        <v>107477</v>
      </c>
      <c r="C9" s="15">
        <v>2851</v>
      </c>
      <c r="D9" s="15">
        <v>108950</v>
      </c>
      <c r="E9" s="15">
        <v>111801</v>
      </c>
      <c r="F9" s="15">
        <v>110040</v>
      </c>
      <c r="G9" s="16">
        <f>IF(AND(F65&lt;&gt;319000,110040&lt;&gt;0),IF(100*110040/(F65-319000)&lt;0.005,"*",100*110040/(F65-319000)),0)</f>
        <v>0.49986372308530935</v>
      </c>
    </row>
    <row r="10" spans="1:7" x14ac:dyDescent="0.2">
      <c r="A10" s="9" t="s">
        <v>98</v>
      </c>
      <c r="B10" s="15">
        <v>4035488</v>
      </c>
      <c r="C10" s="15">
        <v>106043</v>
      </c>
      <c r="D10" s="15">
        <v>4051940</v>
      </c>
      <c r="E10" s="15">
        <v>4157983</v>
      </c>
      <c r="F10" s="15">
        <v>4094488</v>
      </c>
      <c r="G10" s="16">
        <f>IF(AND(F65&lt;&gt;319000,4094488&lt;&gt;0),IF(100*4094488/(F65-319000)&lt;0.005,"*",100*4094488/(F65-319000)),0)</f>
        <v>18.59947306259653</v>
      </c>
    </row>
    <row r="11" spans="1:7" x14ac:dyDescent="0.2">
      <c r="A11" s="9" t="s">
        <v>99</v>
      </c>
      <c r="B11" s="15">
        <v>302306</v>
      </c>
      <c r="C11" s="15">
        <v>7925</v>
      </c>
      <c r="D11" s="15">
        <v>302881</v>
      </c>
      <c r="E11" s="15">
        <v>310806</v>
      </c>
      <c r="F11" s="15">
        <v>305911</v>
      </c>
      <c r="G11" s="16">
        <f>IF(AND(F65&lt;&gt;319000,305911&lt;&gt;0),IF(100*305911/(F65-319000)&lt;0.005,"*",100*305911/(F65-319000)),0)</f>
        <v>1.3896202416643955</v>
      </c>
    </row>
    <row r="12" spans="1:7" x14ac:dyDescent="0.2">
      <c r="A12" s="9" t="s">
        <v>100</v>
      </c>
      <c r="B12" s="15">
        <v>437496</v>
      </c>
      <c r="C12" s="15">
        <v>11517</v>
      </c>
      <c r="D12" s="15">
        <v>440158</v>
      </c>
      <c r="E12" s="15">
        <v>451675</v>
      </c>
      <c r="F12" s="15">
        <v>444562</v>
      </c>
      <c r="G12" s="16">
        <f>IF(AND(F65&lt;&gt;319000,444562&lt;&gt;0),IF(100*444562/(F65-319000)&lt;0.005,"*",100*444562/(F65-319000)),0)</f>
        <v>2.0194512582901791</v>
      </c>
    </row>
    <row r="13" spans="1:7" x14ac:dyDescent="0.2">
      <c r="A13" s="9" t="s">
        <v>101</v>
      </c>
      <c r="B13" s="15">
        <v>45837</v>
      </c>
      <c r="C13" s="15">
        <v>1197</v>
      </c>
      <c r="D13" s="15">
        <v>45759</v>
      </c>
      <c r="E13" s="15">
        <v>46956</v>
      </c>
      <c r="F13" s="15">
        <v>46217</v>
      </c>
      <c r="G13" s="16">
        <f>IF(AND(F65&lt;&gt;319000,46217&lt;&gt;0),IF(100*46217/(F65-319000)&lt;0.005,"*",100*46217/(F65-319000)),0)</f>
        <v>0.20994367220859453</v>
      </c>
    </row>
    <row r="14" spans="1:7" x14ac:dyDescent="0.2">
      <c r="A14" s="9" t="s">
        <v>102</v>
      </c>
      <c r="B14" s="15">
        <v>228962</v>
      </c>
      <c r="C14" s="15">
        <v>5986</v>
      </c>
      <c r="D14" s="15">
        <v>228795</v>
      </c>
      <c r="E14" s="15">
        <v>234781</v>
      </c>
      <c r="F14" s="15">
        <v>231084</v>
      </c>
      <c r="G14" s="16">
        <f>IF(AND(F65&lt;&gt;319000,231084&lt;&gt;0),IF(100*231084/(F65-319000)&lt;0.005,"*",100*231084/(F65-319000)),0)</f>
        <v>1.0497138184791497</v>
      </c>
    </row>
    <row r="15" spans="1:7" x14ac:dyDescent="0.2">
      <c r="A15" s="9" t="s">
        <v>103</v>
      </c>
      <c r="B15" s="15">
        <v>984806</v>
      </c>
      <c r="C15" s="15">
        <v>25884</v>
      </c>
      <c r="D15" s="15">
        <v>989266</v>
      </c>
      <c r="E15" s="15">
        <v>1015150</v>
      </c>
      <c r="F15" s="15">
        <v>999163</v>
      </c>
      <c r="G15" s="16">
        <f>IF(AND(F65&lt;&gt;319000,999163&lt;&gt;0),IF(100*999163/(F65-319000)&lt;0.005,"*",100*999163/(F65-319000)),0)</f>
        <v>4.5387616971018439</v>
      </c>
    </row>
    <row r="16" spans="1:7" x14ac:dyDescent="0.2">
      <c r="A16" s="9" t="s">
        <v>104</v>
      </c>
      <c r="B16" s="15">
        <v>535762</v>
      </c>
      <c r="C16" s="15">
        <v>14082</v>
      </c>
      <c r="D16" s="15">
        <v>538213</v>
      </c>
      <c r="E16" s="15">
        <v>552295</v>
      </c>
      <c r="F16" s="15">
        <v>543598</v>
      </c>
      <c r="G16" s="16">
        <f>IF(AND(F65&lt;&gt;319000,543598&lt;&gt;0),IF(100*543598/(F65-319000)&lt;0.005,"*",100*543598/(F65-319000)),0)</f>
        <v>2.4693286090669573</v>
      </c>
    </row>
    <row r="17" spans="1:7" x14ac:dyDescent="0.2">
      <c r="A17" s="9" t="s">
        <v>105</v>
      </c>
      <c r="B17" s="15">
        <v>140657</v>
      </c>
      <c r="C17" s="15">
        <v>3706</v>
      </c>
      <c r="D17" s="15">
        <v>141635</v>
      </c>
      <c r="E17" s="15">
        <v>145341</v>
      </c>
      <c r="F17" s="15">
        <v>143052</v>
      </c>
      <c r="G17" s="16">
        <f>IF(AND(F65&lt;&gt;319000,143052&lt;&gt;0),IF(100*143052/(F65-319000)&lt;0.005,"*",100*143052/(F65-319000)),0)</f>
        <v>0.64982284001090218</v>
      </c>
    </row>
    <row r="18" spans="1:7" x14ac:dyDescent="0.2">
      <c r="A18" s="9" t="s">
        <v>106</v>
      </c>
      <c r="B18" s="15">
        <v>41501</v>
      </c>
      <c r="C18" s="15">
        <v>1083</v>
      </c>
      <c r="D18" s="15">
        <v>41401</v>
      </c>
      <c r="E18" s="15">
        <v>42484</v>
      </c>
      <c r="F18" s="15">
        <v>41815</v>
      </c>
      <c r="G18" s="16">
        <f>IF(AND(F65&lt;&gt;319000,41815&lt;&gt;0),IF(100*41815/(F65-319000)&lt;0.005,"*",100*41815/(F65-319000)),0)</f>
        <v>0.18994730625965295</v>
      </c>
    </row>
    <row r="19" spans="1:7" x14ac:dyDescent="0.2">
      <c r="A19" s="9" t="s">
        <v>107</v>
      </c>
      <c r="B19" s="15">
        <v>1012128</v>
      </c>
      <c r="C19" s="15">
        <v>26568</v>
      </c>
      <c r="D19" s="15">
        <v>1014414</v>
      </c>
      <c r="E19" s="15">
        <v>1040982</v>
      </c>
      <c r="F19" s="15">
        <v>1026573</v>
      </c>
      <c r="G19" s="16">
        <f>IF(AND(F65&lt;&gt;319000,1026573&lt;&gt;0),IF(100*1026573/(F65-319000)&lt;0.005,"*",100*1026573/(F65-319000)),0)</f>
        <v>4.6632733714908694</v>
      </c>
    </row>
    <row r="20" spans="1:7" x14ac:dyDescent="0.2">
      <c r="A20" s="9" t="s">
        <v>108</v>
      </c>
      <c r="B20" s="15">
        <v>227195</v>
      </c>
      <c r="C20" s="15">
        <v>5986</v>
      </c>
      <c r="D20" s="15">
        <v>228795</v>
      </c>
      <c r="E20" s="15">
        <v>234781</v>
      </c>
      <c r="F20" s="15">
        <v>231084</v>
      </c>
      <c r="G20" s="16">
        <f>IF(AND(F65&lt;&gt;319000,231084&lt;&gt;0),IF(100*231084/(F65-319000)&lt;0.005,"*",100*231084/(F65-319000)),0)</f>
        <v>1.0497138184791497</v>
      </c>
    </row>
    <row r="21" spans="1:7" x14ac:dyDescent="0.2">
      <c r="A21" s="9" t="s">
        <v>109</v>
      </c>
      <c r="B21" s="15">
        <v>106086</v>
      </c>
      <c r="C21" s="15">
        <v>2794</v>
      </c>
      <c r="D21" s="15">
        <v>106771</v>
      </c>
      <c r="E21" s="15">
        <v>109565</v>
      </c>
      <c r="F21" s="15">
        <v>107839</v>
      </c>
      <c r="G21" s="16">
        <f>IF(AND(F65&lt;&gt;319000,107839&lt;&gt;0),IF(100*107839/(F65-319000)&lt;0.005,"*",100*107839/(F65-319000)),0)</f>
        <v>0.48986554011083855</v>
      </c>
    </row>
    <row r="22" spans="1:7" x14ac:dyDescent="0.2">
      <c r="A22" s="9" t="s">
        <v>110</v>
      </c>
      <c r="B22" s="15">
        <v>71279</v>
      </c>
      <c r="C22" s="15">
        <v>1881</v>
      </c>
      <c r="D22" s="15">
        <v>71907</v>
      </c>
      <c r="E22" s="15">
        <v>73788</v>
      </c>
      <c r="F22" s="15">
        <v>72626</v>
      </c>
      <c r="G22" s="16">
        <f>IF(AND(F65&lt;&gt;319000,72626&lt;&gt;0),IF(100*72626/(F65-319000)&lt;0.005,"*",100*72626/(F65-319000)),0)</f>
        <v>0.32990824021077497</v>
      </c>
    </row>
    <row r="23" spans="1:7" x14ac:dyDescent="0.2">
      <c r="A23" s="9" t="s">
        <v>111</v>
      </c>
      <c r="B23" s="15">
        <v>218730</v>
      </c>
      <c r="C23" s="15">
        <v>5758</v>
      </c>
      <c r="D23" s="15">
        <v>220079</v>
      </c>
      <c r="E23" s="15">
        <v>225837</v>
      </c>
      <c r="F23" s="15">
        <v>222281</v>
      </c>
      <c r="G23" s="16">
        <f>IF(AND(F65&lt;&gt;319000,222281&lt;&gt;0),IF(100*222281/(F65-319000)&lt;0.005,"*",100*222281/(F65-319000)),0)</f>
        <v>1.0097256291450896</v>
      </c>
    </row>
    <row r="24" spans="1:7" x14ac:dyDescent="0.2">
      <c r="A24" s="9" t="s">
        <v>112</v>
      </c>
      <c r="B24" s="15">
        <v>373338</v>
      </c>
      <c r="C24" s="15">
        <v>9806</v>
      </c>
      <c r="D24" s="15">
        <v>374788</v>
      </c>
      <c r="E24" s="15">
        <v>384594</v>
      </c>
      <c r="F24" s="15">
        <v>378538</v>
      </c>
      <c r="G24" s="16">
        <f>IF(AND(F65&lt;&gt;319000,378538&lt;&gt;0),IF(100*378538/(F65-319000)&lt;0.005,"*",100*378538/(F65-319000)),0)</f>
        <v>1.7195330244389935</v>
      </c>
    </row>
    <row r="25" spans="1:7" x14ac:dyDescent="0.2">
      <c r="A25" s="9" t="s">
        <v>113</v>
      </c>
      <c r="B25" s="15">
        <v>95716</v>
      </c>
      <c r="C25" s="15">
        <v>2509</v>
      </c>
      <c r="D25" s="15">
        <v>95876</v>
      </c>
      <c r="E25" s="15">
        <v>98385</v>
      </c>
      <c r="F25" s="15">
        <v>96835</v>
      </c>
      <c r="G25" s="16">
        <f>IF(AND(F65&lt;&gt;319000,96835&lt;&gt;0),IF(100*96835/(F65-319000)&lt;0.005,"*",100*96835/(F65-319000)),0)</f>
        <v>0.43987916780230762</v>
      </c>
    </row>
    <row r="26" spans="1:7" x14ac:dyDescent="0.2">
      <c r="A26" s="9" t="s">
        <v>114</v>
      </c>
      <c r="B26" s="15">
        <v>633252</v>
      </c>
      <c r="C26" s="15">
        <v>16648</v>
      </c>
      <c r="D26" s="15">
        <v>636268</v>
      </c>
      <c r="E26" s="15">
        <v>652916</v>
      </c>
      <c r="F26" s="15">
        <v>642634</v>
      </c>
      <c r="G26" s="16">
        <f>IF(AND(F65&lt;&gt;319000,642634&lt;&gt;0),IF(100*642634/(F65-319000)&lt;0.005,"*",100*642634/(F65-319000)),0)</f>
        <v>2.9192059598437359</v>
      </c>
    </row>
    <row r="27" spans="1:7" x14ac:dyDescent="0.2">
      <c r="A27" s="9" t="s">
        <v>115</v>
      </c>
      <c r="B27" s="15">
        <v>1089770</v>
      </c>
      <c r="C27" s="15">
        <v>28620</v>
      </c>
      <c r="D27" s="15">
        <v>1092858</v>
      </c>
      <c r="E27" s="15">
        <v>1121478</v>
      </c>
      <c r="F27" s="15">
        <v>1105802</v>
      </c>
      <c r="G27" s="16">
        <f>IF(AND(F65&lt;&gt;319000,1105802&lt;&gt;0),IF(100*1105802/(F65-319000)&lt;0.005,"*",100*1105802/(F65-319000)),0)</f>
        <v>5.0231761606250567</v>
      </c>
    </row>
    <row r="28" spans="1:7" x14ac:dyDescent="0.2">
      <c r="A28" s="9" t="s">
        <v>116</v>
      </c>
      <c r="B28" s="15">
        <v>382499</v>
      </c>
      <c r="C28" s="15">
        <v>10034</v>
      </c>
      <c r="D28" s="15">
        <v>383504</v>
      </c>
      <c r="E28" s="15">
        <v>393538</v>
      </c>
      <c r="F28" s="15">
        <v>387341</v>
      </c>
      <c r="G28" s="16">
        <f>IF(AND(F65&lt;&gt;319000,387341&lt;&gt;0),IF(100*387341/(F65-319000)&lt;0.005,"*",100*387341/(F65-319000)),0)</f>
        <v>1.7595212137730536</v>
      </c>
    </row>
    <row r="29" spans="1:7" x14ac:dyDescent="0.2">
      <c r="A29" s="9" t="s">
        <v>117</v>
      </c>
      <c r="B29" s="15">
        <v>252265</v>
      </c>
      <c r="C29" s="15">
        <v>6613</v>
      </c>
      <c r="D29" s="15">
        <v>252764</v>
      </c>
      <c r="E29" s="15">
        <v>259377</v>
      </c>
      <c r="F29" s="15">
        <v>255293</v>
      </c>
      <c r="G29" s="16">
        <f>IF(AND(F65&lt;&gt;319000,255293&lt;&gt;0),IF(100*255293/(F65-319000)&lt;0.005,"*",100*255293/(F65-319000)),0)</f>
        <v>1.1596847460706823</v>
      </c>
    </row>
    <row r="30" spans="1:7" x14ac:dyDescent="0.2">
      <c r="A30" s="9" t="s">
        <v>118</v>
      </c>
      <c r="B30" s="15">
        <v>170683</v>
      </c>
      <c r="C30" s="15">
        <v>4504</v>
      </c>
      <c r="D30" s="15">
        <v>172141</v>
      </c>
      <c r="E30" s="15">
        <v>176645</v>
      </c>
      <c r="F30" s="15">
        <v>173863</v>
      </c>
      <c r="G30" s="16">
        <f>IF(AND(F65&lt;&gt;319000,173863&lt;&gt;0),IF(100*173863/(F65-319000)&lt;0.005,"*",100*173863/(F65-319000)),0)</f>
        <v>0.78978377396202415</v>
      </c>
    </row>
    <row r="31" spans="1:7" x14ac:dyDescent="0.2">
      <c r="A31" s="9" t="s">
        <v>119</v>
      </c>
      <c r="B31" s="15">
        <v>268436</v>
      </c>
      <c r="C31" s="15">
        <v>7070</v>
      </c>
      <c r="D31" s="15">
        <v>270196</v>
      </c>
      <c r="E31" s="15">
        <v>277266</v>
      </c>
      <c r="F31" s="15">
        <v>272899</v>
      </c>
      <c r="G31" s="16">
        <f>IF(AND(F65&lt;&gt;319000,272899&lt;&gt;0),IF(100*272899/(F65-319000)&lt;0.005,"*",100*272899/(F65-319000)),0)</f>
        <v>1.2396611247388025</v>
      </c>
    </row>
    <row r="32" spans="1:7" x14ac:dyDescent="0.2">
      <c r="A32" s="9" t="s">
        <v>120</v>
      </c>
      <c r="B32" s="15">
        <v>39996</v>
      </c>
      <c r="C32" s="15">
        <v>1026</v>
      </c>
      <c r="D32" s="15">
        <v>39222</v>
      </c>
      <c r="E32" s="15">
        <v>40248</v>
      </c>
      <c r="F32" s="15">
        <v>39614</v>
      </c>
      <c r="G32" s="16">
        <f>IF(AND(F65&lt;&gt;319000,39614&lt;&gt;0),IF(100*39614/(F65-319000)&lt;0.005,"*",100*39614/(F65-319000)),0)</f>
        <v>0.17994912328518214</v>
      </c>
    </row>
    <row r="33" spans="1:7" x14ac:dyDescent="0.2">
      <c r="A33" s="9" t="s">
        <v>121</v>
      </c>
      <c r="B33" s="15">
        <v>73889</v>
      </c>
      <c r="C33" s="15">
        <v>1938</v>
      </c>
      <c r="D33" s="15">
        <v>74086</v>
      </c>
      <c r="E33" s="15">
        <v>76024</v>
      </c>
      <c r="F33" s="15">
        <v>74827</v>
      </c>
      <c r="G33" s="16">
        <f>IF(AND(F65&lt;&gt;319000,74827&lt;&gt;0),IF(100*74827/(F65-319000)&lt;0.005,"*",100*74827/(F65-319000)),0)</f>
        <v>0.33990642318524578</v>
      </c>
    </row>
    <row r="34" spans="1:7" x14ac:dyDescent="0.2">
      <c r="A34" s="9" t="s">
        <v>122</v>
      </c>
      <c r="B34" s="15">
        <v>146758</v>
      </c>
      <c r="C34" s="15">
        <v>3877</v>
      </c>
      <c r="D34" s="15">
        <v>148172</v>
      </c>
      <c r="E34" s="15">
        <v>152049</v>
      </c>
      <c r="F34" s="15">
        <v>149654</v>
      </c>
      <c r="G34" s="16">
        <f>IF(AND(F65&lt;&gt;319000,149654&lt;&gt;0),IF(100*149654/(F65-319000)&lt;0.005,"*",100*149654/(F65-319000)),0)</f>
        <v>0.67981284637049155</v>
      </c>
    </row>
    <row r="35" spans="1:7" x14ac:dyDescent="0.2">
      <c r="A35" s="9" t="s">
        <v>123</v>
      </c>
      <c r="B35" s="15">
        <v>90397</v>
      </c>
      <c r="C35" s="15">
        <v>2395</v>
      </c>
      <c r="D35" s="15">
        <v>91518</v>
      </c>
      <c r="E35" s="15">
        <v>93913</v>
      </c>
      <c r="F35" s="15">
        <v>92434</v>
      </c>
      <c r="G35" s="16">
        <f>IF(AND(F65&lt;&gt;319000,92434&lt;&gt;0),IF(100*92434/(F65-319000)&lt;0.005,"*",100*92434/(F65-319000)),0)</f>
        <v>0.41988734441718906</v>
      </c>
    </row>
    <row r="36" spans="1:7" x14ac:dyDescent="0.2">
      <c r="A36" s="9" t="s">
        <v>124</v>
      </c>
      <c r="B36" s="15">
        <v>824749</v>
      </c>
      <c r="C36" s="15">
        <v>21665</v>
      </c>
      <c r="D36" s="15">
        <v>827020</v>
      </c>
      <c r="E36" s="15">
        <v>848685</v>
      </c>
      <c r="F36" s="15">
        <v>837304</v>
      </c>
      <c r="G36" s="16">
        <f>IF(AND(F65&lt;&gt;319000,837304&lt;&gt;0),IF(100*837304/(F65-319000)&lt;0.005,"*",100*837304/(F65-319000)),0)</f>
        <v>3.8035068592713728</v>
      </c>
    </row>
    <row r="37" spans="1:7" x14ac:dyDescent="0.2">
      <c r="A37" s="9" t="s">
        <v>125</v>
      </c>
      <c r="B37" s="15">
        <v>83932</v>
      </c>
      <c r="C37" s="15">
        <v>2223</v>
      </c>
      <c r="D37" s="15">
        <v>84981</v>
      </c>
      <c r="E37" s="15">
        <v>87204</v>
      </c>
      <c r="F37" s="15">
        <v>85831</v>
      </c>
      <c r="G37" s="16">
        <f>IF(AND(F65&lt;&gt;319000,85831&lt;&gt;0),IF(100*85831/(F65-319000)&lt;0.005,"*",100*85831/(F65-319000)),0)</f>
        <v>0.3898927954937767</v>
      </c>
    </row>
    <row r="38" spans="1:7" x14ac:dyDescent="0.2">
      <c r="A38" s="9" t="s">
        <v>126</v>
      </c>
      <c r="B38" s="15">
        <v>2678584</v>
      </c>
      <c r="C38" s="15">
        <v>70353</v>
      </c>
      <c r="D38" s="15">
        <v>2687886</v>
      </c>
      <c r="E38" s="15">
        <v>2758239</v>
      </c>
      <c r="F38" s="15">
        <v>2716787</v>
      </c>
      <c r="G38" s="16">
        <f>IF(AND(F65&lt;&gt;319000,2716787&lt;&gt;0),IF(100*2716787/(F65-319000)&lt;0.005,"*",100*2716787/(F65-319000)),0)</f>
        <v>12.341178341055691</v>
      </c>
    </row>
    <row r="39" spans="1:7" x14ac:dyDescent="0.2">
      <c r="A39" s="9" t="s">
        <v>127</v>
      </c>
      <c r="B39" s="15">
        <v>412471</v>
      </c>
      <c r="C39" s="15">
        <v>10832</v>
      </c>
      <c r="D39" s="15">
        <v>414010</v>
      </c>
      <c r="E39" s="15">
        <v>424842</v>
      </c>
      <c r="F39" s="15">
        <v>418152</v>
      </c>
      <c r="G39" s="16">
        <f>IF(AND(F65&lt;&gt;319000,418152&lt;&gt;0),IF(100*418152/(F65-319000)&lt;0.005,"*",100*418152/(F65-319000)),0)</f>
        <v>1.8994821477241755</v>
      </c>
    </row>
    <row r="40" spans="1:7" x14ac:dyDescent="0.2">
      <c r="A40" s="9" t="s">
        <v>128</v>
      </c>
      <c r="B40" s="15">
        <v>39108</v>
      </c>
      <c r="C40" s="15">
        <v>1026</v>
      </c>
      <c r="D40" s="15">
        <v>39222</v>
      </c>
      <c r="E40" s="15">
        <v>40248</v>
      </c>
      <c r="F40" s="15">
        <v>39614</v>
      </c>
      <c r="G40" s="16">
        <f>IF(AND(F65&lt;&gt;319000,39614&lt;&gt;0),IF(100*39614/(F65-319000)&lt;0.005,"*",100*39614/(F65-319000)),0)</f>
        <v>0.17994912328518214</v>
      </c>
    </row>
    <row r="41" spans="1:7" x14ac:dyDescent="0.2">
      <c r="A41" s="9" t="s">
        <v>129</v>
      </c>
      <c r="B41" s="15">
        <v>592763</v>
      </c>
      <c r="C41" s="15">
        <v>15564</v>
      </c>
      <c r="D41" s="15">
        <v>594867</v>
      </c>
      <c r="E41" s="15">
        <v>610431</v>
      </c>
      <c r="F41" s="15">
        <v>600818</v>
      </c>
      <c r="G41" s="16">
        <f>IF(AND(F65&lt;&gt;319000,600818&lt;&gt;0),IF(100*600818/(F65-319000)&lt;0.005,"*",100*600818/(F65-319000)),0)</f>
        <v>2.7292541110202597</v>
      </c>
    </row>
    <row r="42" spans="1:7" x14ac:dyDescent="0.2">
      <c r="A42" s="9" t="s">
        <v>130</v>
      </c>
      <c r="B42" s="15">
        <v>144381</v>
      </c>
      <c r="C42" s="15">
        <v>3820</v>
      </c>
      <c r="D42" s="15">
        <v>145993</v>
      </c>
      <c r="E42" s="15">
        <v>149813</v>
      </c>
      <c r="F42" s="15">
        <v>147454</v>
      </c>
      <c r="G42" s="16">
        <f>IF(AND(F65&lt;&gt;319000,147454&lt;&gt;0),IF(100*147454/(F65-319000)&lt;0.005,"*",100*147454/(F65-319000)),0)</f>
        <v>0.66981920595984379</v>
      </c>
    </row>
    <row r="43" spans="1:7" x14ac:dyDescent="0.2">
      <c r="A43" s="9" t="s">
        <v>131</v>
      </c>
      <c r="B43" s="15">
        <v>274710</v>
      </c>
      <c r="C43" s="15">
        <v>7241</v>
      </c>
      <c r="D43" s="15">
        <v>276733</v>
      </c>
      <c r="E43" s="15">
        <v>283974</v>
      </c>
      <c r="F43" s="15">
        <v>279502</v>
      </c>
      <c r="G43" s="16">
        <f>IF(AND(F65&lt;&gt;319000,279502&lt;&gt;0),IF(100*279502/(F65-319000)&lt;0.005,"*",100*279502/(F65-319000)),0)</f>
        <v>1.2696556736622149</v>
      </c>
    </row>
    <row r="44" spans="1:7" x14ac:dyDescent="0.2">
      <c r="A44" s="9" t="s">
        <v>132</v>
      </c>
      <c r="B44" s="15">
        <v>671349</v>
      </c>
      <c r="C44" s="15">
        <v>17617</v>
      </c>
      <c r="D44" s="15">
        <v>673311</v>
      </c>
      <c r="E44" s="15">
        <v>690928</v>
      </c>
      <c r="F44" s="15">
        <v>680047</v>
      </c>
      <c r="G44" s="16">
        <f>IF(AND(F65&lt;&gt;319000,680047&lt;&gt;0),IF(100*680047/(F65-319000)&lt;0.005,"*",100*680047/(F65-319000)),0)</f>
        <v>3.089156900154447</v>
      </c>
    </row>
    <row r="45" spans="1:7" x14ac:dyDescent="0.2">
      <c r="A45" s="9" t="s">
        <v>133</v>
      </c>
      <c r="B45" s="15">
        <v>88536</v>
      </c>
      <c r="C45" s="15">
        <v>2338</v>
      </c>
      <c r="D45" s="15">
        <v>89339</v>
      </c>
      <c r="E45" s="15">
        <v>91677</v>
      </c>
      <c r="F45" s="15">
        <v>90233</v>
      </c>
      <c r="G45" s="16">
        <f>IF(AND(F65&lt;&gt;319000,90233&lt;&gt;0),IF(100*90233/(F65-319000)&lt;0.005,"*",100*90233/(F65-319000)),0)</f>
        <v>0.40988916144271825</v>
      </c>
    </row>
    <row r="46" spans="1:7" x14ac:dyDescent="0.2">
      <c r="A46" s="9" t="s">
        <v>134</v>
      </c>
      <c r="B46" s="15">
        <v>171800</v>
      </c>
      <c r="C46" s="15">
        <v>4504</v>
      </c>
      <c r="D46" s="15">
        <v>172141</v>
      </c>
      <c r="E46" s="15">
        <v>176645</v>
      </c>
      <c r="F46" s="15">
        <v>173863</v>
      </c>
      <c r="G46" s="16">
        <f>IF(AND(F65&lt;&gt;319000,173863&lt;&gt;0),IF(100*173863/(F65-319000)&lt;0.005,"*",100*173863/(F65-319000)),0)</f>
        <v>0.78978377396202415</v>
      </c>
    </row>
    <row r="47" spans="1:7" x14ac:dyDescent="0.2">
      <c r="A47" s="9" t="s">
        <v>135</v>
      </c>
      <c r="B47" s="15">
        <v>32352</v>
      </c>
      <c r="C47" s="15">
        <v>855</v>
      </c>
      <c r="D47" s="15">
        <v>32685</v>
      </c>
      <c r="E47" s="15">
        <v>33540</v>
      </c>
      <c r="F47" s="15">
        <v>33012</v>
      </c>
      <c r="G47" s="16">
        <f>IF(AND(F65&lt;&gt;319000,33012&lt;&gt;0),IF(100*33012/(F65-319000)&lt;0.005,"*",100*33012/(F65-319000)),0)</f>
        <v>0.1499591169255928</v>
      </c>
    </row>
    <row r="48" spans="1:7" x14ac:dyDescent="0.2">
      <c r="A48" s="9" t="s">
        <v>136</v>
      </c>
      <c r="B48" s="15">
        <v>246374</v>
      </c>
      <c r="C48" s="15">
        <v>6499</v>
      </c>
      <c r="D48" s="15">
        <v>248406</v>
      </c>
      <c r="E48" s="15">
        <v>254905</v>
      </c>
      <c r="F48" s="15">
        <v>250891</v>
      </c>
      <c r="G48" s="16">
        <f>IF(AND(F65&lt;&gt;319000,250891&lt;&gt;0),IF(100*250891/(F65-319000)&lt;0.005,"*",100*250891/(F65-319000)),0)</f>
        <v>1.1396883801217408</v>
      </c>
    </row>
    <row r="49" spans="1:7" x14ac:dyDescent="0.2">
      <c r="A49" s="9" t="s">
        <v>137</v>
      </c>
      <c r="B49" s="15">
        <v>1166191</v>
      </c>
      <c r="C49" s="15">
        <v>30616</v>
      </c>
      <c r="D49" s="15">
        <v>1169123</v>
      </c>
      <c r="E49" s="15">
        <v>1199739</v>
      </c>
      <c r="F49" s="15">
        <v>1182830</v>
      </c>
      <c r="G49" s="16">
        <f>IF(AND(F65&lt;&gt;319000,1182830&lt;&gt;0),IF(100*1182830/(F65-319000)&lt;0.005,"*",100*1182830/(F65-319000)),0)</f>
        <v>5.3730807667847733</v>
      </c>
    </row>
    <row r="50" spans="1:7" x14ac:dyDescent="0.2">
      <c r="A50" s="9" t="s">
        <v>138</v>
      </c>
      <c r="B50" s="15">
        <v>81384</v>
      </c>
      <c r="C50" s="15">
        <v>2109</v>
      </c>
      <c r="D50" s="15">
        <v>80623</v>
      </c>
      <c r="E50" s="15">
        <v>82732</v>
      </c>
      <c r="F50" s="15">
        <v>81430</v>
      </c>
      <c r="G50" s="16">
        <f>IF(AND(F65&lt;&gt;319000,81430&lt;&gt;0),IF(100*81430/(F65-319000)&lt;0.005,"*",100*81430/(F65-319000)),0)</f>
        <v>0.36990097210865813</v>
      </c>
    </row>
    <row r="51" spans="1:7" x14ac:dyDescent="0.2">
      <c r="A51" s="9" t="s">
        <v>139</v>
      </c>
      <c r="B51" s="15">
        <v>59692</v>
      </c>
      <c r="C51" s="15">
        <v>1539</v>
      </c>
      <c r="D51" s="15">
        <v>58833</v>
      </c>
      <c r="E51" s="15">
        <v>60372</v>
      </c>
      <c r="F51" s="15">
        <v>59422</v>
      </c>
      <c r="G51" s="16">
        <f>IF(AND(F65&lt;&gt;319000,59422&lt;&gt;0),IF(100*59422/(F65-319000)&lt;0.005,"*",100*59422/(F65-319000)),0)</f>
        <v>0.26992822749159628</v>
      </c>
    </row>
    <row r="52" spans="1:7" x14ac:dyDescent="0.2">
      <c r="A52" s="9" t="s">
        <v>140</v>
      </c>
      <c r="B52" s="15">
        <v>448869</v>
      </c>
      <c r="C52" s="15">
        <v>11802</v>
      </c>
      <c r="D52" s="15">
        <v>451053</v>
      </c>
      <c r="E52" s="15">
        <v>462855</v>
      </c>
      <c r="F52" s="15">
        <v>455566</v>
      </c>
      <c r="G52" s="16">
        <f>IF(AND(F65&lt;&gt;319000,455566&lt;&gt;0),IF(100*455566/(F65-319000)&lt;0.005,"*",100*455566/(F65-319000)),0)</f>
        <v>2.0694376305987099</v>
      </c>
    </row>
    <row r="53" spans="1:7" x14ac:dyDescent="0.2">
      <c r="A53" s="9" t="s">
        <v>141</v>
      </c>
      <c r="B53" s="15">
        <v>604338</v>
      </c>
      <c r="C53" s="15">
        <v>15909</v>
      </c>
      <c r="D53" s="15">
        <v>607941</v>
      </c>
      <c r="E53" s="15">
        <v>623850</v>
      </c>
      <c r="F53" s="15">
        <v>614023</v>
      </c>
      <c r="G53" s="16">
        <f>IF(AND(F65&lt;&gt;319000,614023&lt;&gt;0),IF(100*614023/(F65-319000)&lt;0.005,"*",100*614023/(F65-319000)),0)</f>
        <v>2.7892386663032616</v>
      </c>
    </row>
    <row r="54" spans="1:7" x14ac:dyDescent="0.2">
      <c r="A54" s="9" t="s">
        <v>142</v>
      </c>
      <c r="B54" s="15">
        <v>81608</v>
      </c>
      <c r="C54" s="15">
        <v>2166</v>
      </c>
      <c r="D54" s="15">
        <v>82802</v>
      </c>
      <c r="E54" s="15">
        <v>84968</v>
      </c>
      <c r="F54" s="15">
        <v>83630</v>
      </c>
      <c r="G54" s="16">
        <f>IF(AND(F65&lt;&gt;319000,83630&lt;&gt;0),IF(100*83630/(F65-319000)&lt;0.005,"*",100*83630/(F65-319000)),0)</f>
        <v>0.3798946125193059</v>
      </c>
    </row>
    <row r="55" spans="1:7" x14ac:dyDescent="0.2">
      <c r="A55" s="9" t="s">
        <v>143</v>
      </c>
      <c r="B55" s="15">
        <v>170034</v>
      </c>
      <c r="C55" s="15">
        <v>4447</v>
      </c>
      <c r="D55" s="15">
        <v>169962</v>
      </c>
      <c r="E55" s="15">
        <v>174409</v>
      </c>
      <c r="F55" s="15">
        <v>171662</v>
      </c>
      <c r="G55" s="16">
        <f>IF(AND(F65&lt;&gt;319000,171662&lt;&gt;0),IF(100*171662/(F65-319000)&lt;0.005,"*",100*171662/(F65-319000)),0)</f>
        <v>0.7797855909875534</v>
      </c>
    </row>
    <row r="56" spans="1:7" x14ac:dyDescent="0.2">
      <c r="A56" s="9" t="s">
        <v>144</v>
      </c>
      <c r="B56" s="15">
        <v>16029</v>
      </c>
      <c r="C56" s="15">
        <v>399</v>
      </c>
      <c r="D56" s="15">
        <v>15253</v>
      </c>
      <c r="E56" s="15">
        <v>15652</v>
      </c>
      <c r="F56" s="15">
        <v>15406</v>
      </c>
      <c r="G56" s="16">
        <f>IF(AND(F65&lt;&gt;319000,15406&lt;&gt;0),IF(100*15406/(F65-319000)&lt;0.005,"*",100*15406/(F65-319000)),0)</f>
        <v>6.9982738257472518E-2</v>
      </c>
    </row>
    <row r="57" spans="1:7" x14ac:dyDescent="0.2">
      <c r="A57" s="9" t="s">
        <v>145</v>
      </c>
      <c r="B57" s="15">
        <v>0</v>
      </c>
      <c r="C57" s="15">
        <v>0</v>
      </c>
      <c r="D57" s="15">
        <v>0</v>
      </c>
      <c r="E57" s="15">
        <v>0</v>
      </c>
      <c r="F57" s="15">
        <v>0</v>
      </c>
      <c r="G57" s="16">
        <f>IF(AND(F65&lt;&gt;319000,0&lt;&gt;0),IF(100*0/(F65-319000)&lt;0.005,"*",100*0/(F65-319000)),0)</f>
        <v>0</v>
      </c>
    </row>
    <row r="58" spans="1:7" x14ac:dyDescent="0.2">
      <c r="A58" s="9" t="s">
        <v>146</v>
      </c>
      <c r="B58" s="15">
        <v>31201</v>
      </c>
      <c r="C58" s="15">
        <v>798</v>
      </c>
      <c r="D58" s="15">
        <v>30506</v>
      </c>
      <c r="E58" s="15">
        <v>31304</v>
      </c>
      <c r="F58" s="15">
        <v>30811</v>
      </c>
      <c r="G58" s="16">
        <f>IF(AND(F65&lt;&gt;319000,30811&lt;&gt;0),IF(100*30811/(F65-319000)&lt;0.005,"*",100*30811/(F65-319000)),0)</f>
        <v>0.13996093395112202</v>
      </c>
    </row>
    <row r="59" spans="1:7" x14ac:dyDescent="0.2">
      <c r="A59" s="9" t="s">
        <v>147</v>
      </c>
      <c r="B59" s="15">
        <v>2915</v>
      </c>
      <c r="C59" s="15">
        <v>57</v>
      </c>
      <c r="D59" s="15">
        <v>2179</v>
      </c>
      <c r="E59" s="15">
        <v>2236</v>
      </c>
      <c r="F59" s="15">
        <v>2201</v>
      </c>
      <c r="G59" s="16">
        <f>IF(AND(F65&lt;&gt;319000,2201&lt;&gt;0),IF(100*2201/(F65-319000)&lt;0.005,"*",100*2201/(F65-319000)),0)</f>
        <v>9.9981829744707918E-3</v>
      </c>
    </row>
    <row r="60" spans="1:7" x14ac:dyDescent="0.2">
      <c r="A60" s="9" t="s">
        <v>148</v>
      </c>
      <c r="B60" s="15">
        <v>198627</v>
      </c>
      <c r="C60" s="15">
        <v>5245</v>
      </c>
      <c r="D60" s="15">
        <v>200468</v>
      </c>
      <c r="E60" s="15">
        <v>205713</v>
      </c>
      <c r="F60" s="15">
        <v>202474</v>
      </c>
      <c r="G60" s="16">
        <f>IF(AND(F65&lt;&gt;319000,202474&lt;&gt;0),IF(100*202474/(F65-319000)&lt;0.005,"*",100*202474/(F65-319000)),0)</f>
        <v>0.91975106750249846</v>
      </c>
    </row>
    <row r="61" spans="1:7" x14ac:dyDescent="0.2">
      <c r="A61" s="9" t="s">
        <v>149</v>
      </c>
      <c r="B61" s="15">
        <v>0</v>
      </c>
      <c r="C61" s="15">
        <v>0</v>
      </c>
      <c r="D61" s="15">
        <v>0</v>
      </c>
      <c r="E61" s="15">
        <v>0</v>
      </c>
      <c r="F61" s="15">
        <v>0</v>
      </c>
      <c r="G61" s="16">
        <f>IF(AND(F65&lt;&gt;319000,0&lt;&gt;0),IF(100*0/(F65-319000)&lt;0.005,"*",100*0/(F65-319000)),0)</f>
        <v>0</v>
      </c>
    </row>
    <row r="62" spans="1:7" x14ac:dyDescent="0.2">
      <c r="A62" s="9" t="s">
        <v>150</v>
      </c>
      <c r="B62" s="15">
        <v>18176</v>
      </c>
      <c r="C62" s="15">
        <v>456</v>
      </c>
      <c r="D62" s="15">
        <v>17432</v>
      </c>
      <c r="E62" s="15">
        <v>17888</v>
      </c>
      <c r="F62" s="15">
        <v>17605</v>
      </c>
      <c r="G62" s="16">
        <f>IF(AND(F65&lt;&gt;319000,17605&lt;&gt;0),IF(100*17605/(F65-319000)&lt;0.005,"*",100*17605/(F65-319000)),0)</f>
        <v>7.997183610429727E-2</v>
      </c>
    </row>
    <row r="63" spans="1:7" x14ac:dyDescent="0.2">
      <c r="A63" s="9" t="s">
        <v>151</v>
      </c>
      <c r="B63" s="15">
        <v>0</v>
      </c>
      <c r="C63" s="15">
        <v>0</v>
      </c>
      <c r="D63" s="15">
        <v>0</v>
      </c>
      <c r="E63" s="15">
        <v>0</v>
      </c>
      <c r="F63" s="15">
        <v>0</v>
      </c>
      <c r="G63" s="16">
        <f>IF(AND(F65&lt;&gt;319000,0&lt;&gt;0),IF(100*0/(F65-319000)&lt;0.005,"*",100*0/(F65-319000)),0)</f>
        <v>0</v>
      </c>
    </row>
    <row r="64" spans="1:7" ht="15" x14ac:dyDescent="0.2">
      <c r="A64" s="9" t="s">
        <v>152</v>
      </c>
      <c r="B64" s="15">
        <v>0</v>
      </c>
      <c r="C64" s="21" t="s">
        <v>292</v>
      </c>
      <c r="D64" s="21" t="s">
        <v>293</v>
      </c>
      <c r="E64" s="15">
        <v>539347</v>
      </c>
      <c r="F64" s="21" t="s">
        <v>294</v>
      </c>
      <c r="G64" s="16">
        <v>0</v>
      </c>
    </row>
    <row r="65" spans="1:7" ht="15" customHeight="1" x14ac:dyDescent="0.2">
      <c r="A65" s="17" t="s">
        <v>93</v>
      </c>
      <c r="B65" s="18">
        <f>216351+42520+185802+107477+4035488+302306+437496+45837+228962+984806+535762+140657+41501+1012128+227195+106086+71279+218730+373338+95716+633252+1089770+382499+252265+170683+268436+39996+73889+146758+90397+824749+83932+2678584+412471+39108+592763+144381+274710+671349+88536+171800+32352+246374+1166191+81384+59692+448869+604338+81608+170034+16029+0+31201+2915+198627+0+18176+0+0+0</f>
        <v>21697555</v>
      </c>
      <c r="C65" s="18">
        <f>5701+1140+4903+2851+106043+7925+11517+1197+5986+25884+14082+3706+1083+26568+5986+2794+1881+5758+9806+2509+16648+28620+10034+6613+4504+7070+1026+1938+3877+2395+21665+2223+70353+10832+1026+15564+3820+7241+17617+2338+4504+855+6499+30616+2109+1539+11802+15909+2166+4447+399+0+798+57+5245+0+456+0+237347+0</f>
        <v>807472</v>
      </c>
      <c r="D65" s="18">
        <f>217900+43580+187394+108950+4051940+302881+440158+45759+228795+989266+538213+141635+41401+1014414+228795+106771+71907+220079+374788+95876+636268+1092858+383504+252764+172141+270196+39222+74086+148172+91518+827020+84981+2687886+414010+39222+594867+145993+276733+673311+89339+172141+32685+248406+1169123+80623+58833+451053+607941+82802+169962+15253+0+30506+2179+200468+0+17432+0+302000+0</f>
        <v>22086000</v>
      </c>
      <c r="E65" s="18">
        <f>SUM(C65:D65)</f>
        <v>22893472</v>
      </c>
      <c r="F65" s="18">
        <f>220080+44016+189269+110040+4094488+305911+444562+46217+231084+999163+543598+143052+41815+1026573+231084+107839+72626+222281+378538+96835+642634+1105802+387341+255293+173863+272899+39614+74827+149654+92434+837304+85831+2716787+418152+39614+600818+147454+279502+680047+90233+173863+33012+250891+1182830+81430+59422+455566+614023+83630+171662+15406+0+30811+2201+202474+0+17605+0+319000+0</f>
        <v>22333000</v>
      </c>
      <c r="G65" s="19" t="s">
        <v>295</v>
      </c>
    </row>
    <row r="66" spans="1:7" ht="36.75" customHeight="1" x14ac:dyDescent="0.2">
      <c r="A66" s="66" t="s">
        <v>296</v>
      </c>
      <c r="B66" s="66"/>
      <c r="C66" s="66"/>
      <c r="D66" s="66"/>
      <c r="E66" s="66"/>
      <c r="F66" s="66"/>
      <c r="G66" s="66"/>
    </row>
    <row r="67" spans="1:7" ht="33" customHeight="1" x14ac:dyDescent="0.2">
      <c r="A67" s="66" t="s">
        <v>297</v>
      </c>
      <c r="B67" s="66"/>
      <c r="C67" s="66"/>
      <c r="D67" s="66"/>
      <c r="E67" s="66"/>
      <c r="F67" s="66"/>
      <c r="G67" s="66"/>
    </row>
    <row r="68" spans="1:7" ht="25.5" customHeight="1" x14ac:dyDescent="0.2">
      <c r="A68" s="66" t="s">
        <v>298</v>
      </c>
      <c r="B68" s="66"/>
      <c r="C68" s="66"/>
      <c r="D68" s="66"/>
      <c r="E68" s="66"/>
      <c r="F68" s="66"/>
      <c r="G68" s="66"/>
    </row>
    <row r="69" spans="1:7" ht="15" customHeight="1" x14ac:dyDescent="0.2">
      <c r="A69" s="66" t="s">
        <v>299</v>
      </c>
      <c r="B69" s="66"/>
      <c r="C69" s="66"/>
      <c r="D69" s="66"/>
      <c r="E69" s="66"/>
      <c r="F69" s="66"/>
      <c r="G69" s="66"/>
    </row>
  </sheetData>
  <mergeCells count="8">
    <mergeCell ref="A67:G67"/>
    <mergeCell ref="A68:G68"/>
    <mergeCell ref="A69:G69"/>
    <mergeCell ref="A4:A5"/>
    <mergeCell ref="B4:B5"/>
    <mergeCell ref="F4:F5"/>
    <mergeCell ref="G4:G5"/>
    <mergeCell ref="A66:G66"/>
  </mergeCells>
  <pageMargins left="0.7" right="0.7" top="0.75" bottom="0.75" header="0.3" footer="0.3"/>
  <pageSetup scale="7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289</v>
      </c>
      <c r="B1" s="8"/>
      <c r="C1" s="8"/>
      <c r="D1" s="8"/>
      <c r="E1" s="8"/>
      <c r="F1" s="8"/>
      <c r="G1" s="10" t="s">
        <v>300</v>
      </c>
    </row>
    <row r="2" spans="1:7" x14ac:dyDescent="0.2">
      <c r="A2" s="11" t="s">
        <v>301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141714</v>
      </c>
      <c r="C6" s="15">
        <v>11777</v>
      </c>
      <c r="D6" s="15">
        <v>132508</v>
      </c>
      <c r="E6" s="15">
        <v>144285</v>
      </c>
      <c r="F6" s="15">
        <v>85118</v>
      </c>
      <c r="G6" s="16">
        <f>IF(AND(F65&lt;&gt;0,85118&lt;&gt;0),IF(100*85118/(F65-0)&lt;0.005,"*",100*85118/(F65-0)),0)</f>
        <v>2.9730352776807543</v>
      </c>
    </row>
    <row r="7" spans="1:7" x14ac:dyDescent="0.2">
      <c r="A7" s="9" t="s">
        <v>95</v>
      </c>
      <c r="B7" s="15">
        <v>9376</v>
      </c>
      <c r="C7" s="15">
        <v>779</v>
      </c>
      <c r="D7" s="15">
        <v>8766</v>
      </c>
      <c r="E7" s="15">
        <v>9545</v>
      </c>
      <c r="F7" s="15">
        <v>5631</v>
      </c>
      <c r="G7" s="16">
        <f>IF(AND(F65&lt;&gt;0,5631&lt;&gt;0),IF(100*5631/(F65-0)&lt;0.005,"*",100*5631/(F65-0)),0)</f>
        <v>0.19668180230527418</v>
      </c>
    </row>
    <row r="8" spans="1:7" x14ac:dyDescent="0.2">
      <c r="A8" s="9" t="s">
        <v>96</v>
      </c>
      <c r="B8" s="15">
        <v>21484</v>
      </c>
      <c r="C8" s="15">
        <v>1785</v>
      </c>
      <c r="D8" s="15">
        <v>20088</v>
      </c>
      <c r="E8" s="15">
        <v>21873</v>
      </c>
      <c r="F8" s="15">
        <v>12904</v>
      </c>
      <c r="G8" s="16">
        <f>IF(AND(F65&lt;&gt;0,12904&lt;&gt;0),IF(100*12904/(F65-0)&lt;0.005,"*",100*12904/(F65-0)),0)</f>
        <v>0.45071603213412503</v>
      </c>
    </row>
    <row r="9" spans="1:7" x14ac:dyDescent="0.2">
      <c r="A9" s="9" t="s">
        <v>97</v>
      </c>
      <c r="B9" s="15">
        <v>37340</v>
      </c>
      <c r="C9" s="15">
        <v>3103</v>
      </c>
      <c r="D9" s="15">
        <v>34913</v>
      </c>
      <c r="E9" s="15">
        <v>38016</v>
      </c>
      <c r="F9" s="15">
        <v>22427</v>
      </c>
      <c r="G9" s="16">
        <f>IF(AND(F65&lt;&gt;0,22427&lt;&gt;0),IF(100*22427/(F65-0)&lt;0.005,"*",100*22427/(F65-0)),0)</f>
        <v>0.7833391547327978</v>
      </c>
    </row>
    <row r="10" spans="1:7" x14ac:dyDescent="0.2">
      <c r="A10" s="9" t="s">
        <v>98</v>
      </c>
      <c r="B10" s="15">
        <v>126382</v>
      </c>
      <c r="C10" s="15">
        <v>10503</v>
      </c>
      <c r="D10" s="15">
        <v>118172</v>
      </c>
      <c r="E10" s="15">
        <v>128675</v>
      </c>
      <c r="F10" s="15">
        <v>75909</v>
      </c>
      <c r="G10" s="16">
        <f>IF(AND(F65&lt;&gt;0,75909&lt;&gt;0),IF(100*75909/(F65-0)&lt;0.005,"*",100*75909/(F65-0)),0)</f>
        <v>2.6513796716730704</v>
      </c>
    </row>
    <row r="11" spans="1:7" x14ac:dyDescent="0.2">
      <c r="A11" s="9" t="s">
        <v>99</v>
      </c>
      <c r="B11" s="15">
        <v>31304</v>
      </c>
      <c r="C11" s="15">
        <v>2601</v>
      </c>
      <c r="D11" s="15">
        <v>29270</v>
      </c>
      <c r="E11" s="15">
        <v>31871</v>
      </c>
      <c r="F11" s="15">
        <v>18802</v>
      </c>
      <c r="G11" s="16">
        <f>IF(AND(F65&lt;&gt;0,18802&lt;&gt;0),IF(100*18802/(F65-0)&lt;0.005,"*",100*18802/(F65-0)),0)</f>
        <v>0.65672371638141813</v>
      </c>
    </row>
    <row r="12" spans="1:7" x14ac:dyDescent="0.2">
      <c r="A12" s="9" t="s">
        <v>100</v>
      </c>
      <c r="B12" s="15">
        <v>77770</v>
      </c>
      <c r="C12" s="15">
        <v>6463</v>
      </c>
      <c r="D12" s="15">
        <v>72718</v>
      </c>
      <c r="E12" s="15">
        <v>79181</v>
      </c>
      <c r="F12" s="15">
        <v>46711</v>
      </c>
      <c r="G12" s="16">
        <f>IF(AND(F65&lt;&gt;0,46711&lt;&gt;0),IF(100*46711/(F65-0)&lt;0.005,"*",100*46711/(F65-0)),0)</f>
        <v>1.6315403422982886</v>
      </c>
    </row>
    <row r="13" spans="1:7" x14ac:dyDescent="0.2">
      <c r="A13" s="9" t="s">
        <v>101</v>
      </c>
      <c r="B13" s="15">
        <v>13378</v>
      </c>
      <c r="C13" s="15">
        <v>1112</v>
      </c>
      <c r="D13" s="15">
        <v>12509</v>
      </c>
      <c r="E13" s="15">
        <v>13621</v>
      </c>
      <c r="F13" s="15">
        <v>8035</v>
      </c>
      <c r="G13" s="16">
        <f>IF(AND(F65&lt;&gt;0,8035&lt;&gt;0),IF(100*8035/(F65-0)&lt;0.005,"*",100*8035/(F65-0)),0)</f>
        <v>0.28064966818023052</v>
      </c>
    </row>
    <row r="14" spans="1:7" x14ac:dyDescent="0.2">
      <c r="A14" s="9" t="s">
        <v>102</v>
      </c>
      <c r="B14" s="15">
        <v>65722</v>
      </c>
      <c r="C14" s="15">
        <v>5462</v>
      </c>
      <c r="D14" s="15">
        <v>61451</v>
      </c>
      <c r="E14" s="15">
        <v>66913</v>
      </c>
      <c r="F14" s="15">
        <v>39474</v>
      </c>
      <c r="G14" s="16">
        <f>IF(AND(F65&lt;&gt;0,39474&lt;&gt;0),IF(100*39474/(F65-0)&lt;0.005,"*",100*39474/(F65-0)),0)</f>
        <v>1.3787635347537548</v>
      </c>
    </row>
    <row r="15" spans="1:7" x14ac:dyDescent="0.2">
      <c r="A15" s="9" t="s">
        <v>103</v>
      </c>
      <c r="B15" s="15">
        <v>133229</v>
      </c>
      <c r="C15" s="15">
        <v>11071</v>
      </c>
      <c r="D15" s="15">
        <v>124573</v>
      </c>
      <c r="E15" s="15">
        <v>135644</v>
      </c>
      <c r="F15" s="15">
        <v>80021</v>
      </c>
      <c r="G15" s="16">
        <f>IF(AND(F65&lt;&gt;0,80021&lt;&gt;0),IF(100*80021/(F65-0)&lt;0.005,"*",100*80021/(F65-0)),0)</f>
        <v>2.7950052392595182</v>
      </c>
    </row>
    <row r="16" spans="1:7" x14ac:dyDescent="0.2">
      <c r="A16" s="9" t="s">
        <v>104</v>
      </c>
      <c r="B16" s="15">
        <v>125810</v>
      </c>
      <c r="C16" s="15">
        <v>10455</v>
      </c>
      <c r="D16" s="15">
        <v>117636</v>
      </c>
      <c r="E16" s="15">
        <v>128091</v>
      </c>
      <c r="F16" s="15">
        <v>75565</v>
      </c>
      <c r="G16" s="16">
        <f>IF(AND(F65&lt;&gt;0,75565&lt;&gt;0),IF(100*75565/(F65-0)&lt;0.005,"*",100*75565/(F65-0)),0)</f>
        <v>2.6393643031784841</v>
      </c>
    </row>
    <row r="17" spans="1:7" x14ac:dyDescent="0.2">
      <c r="A17" s="9" t="s">
        <v>105</v>
      </c>
      <c r="B17" s="15">
        <v>29126</v>
      </c>
      <c r="C17" s="15">
        <v>2420</v>
      </c>
      <c r="D17" s="15">
        <v>27234</v>
      </c>
      <c r="E17" s="15">
        <v>29654</v>
      </c>
      <c r="F17" s="15">
        <v>17494</v>
      </c>
      <c r="G17" s="16">
        <f>IF(AND(F65&lt;&gt;0,17494&lt;&gt;0),IF(100*17494/(F65-0)&lt;0.005,"*",100*17494/(F65-0)),0)</f>
        <v>0.61103737338456166</v>
      </c>
    </row>
    <row r="18" spans="1:7" x14ac:dyDescent="0.2">
      <c r="A18" s="9" t="s">
        <v>106</v>
      </c>
      <c r="B18" s="15">
        <v>1406</v>
      </c>
      <c r="C18" s="15">
        <v>117</v>
      </c>
      <c r="D18" s="15">
        <v>1315</v>
      </c>
      <c r="E18" s="15">
        <v>1432</v>
      </c>
      <c r="F18" s="15">
        <v>845</v>
      </c>
      <c r="G18" s="16">
        <f>IF(AND(F65&lt;&gt;0,845&lt;&gt;0),IF(100*845/(F65-0)&lt;0.005,"*",100*845/(F65-0)),0)</f>
        <v>2.9514495284666434E-2</v>
      </c>
    </row>
    <row r="19" spans="1:7" x14ac:dyDescent="0.2">
      <c r="A19" s="9" t="s">
        <v>107</v>
      </c>
      <c r="B19" s="15">
        <v>274853</v>
      </c>
      <c r="C19" s="15">
        <v>22841</v>
      </c>
      <c r="D19" s="15">
        <v>256998</v>
      </c>
      <c r="E19" s="15">
        <v>279839</v>
      </c>
      <c r="F19" s="15">
        <v>165085</v>
      </c>
      <c r="G19" s="16">
        <f>IF(AND(F65&lt;&gt;0,165085&lt;&gt;0),IF(100*165085/(F65-0)&lt;0.005,"*",100*165085/(F65-0)),0)</f>
        <v>5.7661543835137969</v>
      </c>
    </row>
    <row r="20" spans="1:7" x14ac:dyDescent="0.2">
      <c r="A20" s="9" t="s">
        <v>108</v>
      </c>
      <c r="B20" s="15">
        <v>45079</v>
      </c>
      <c r="C20" s="15">
        <v>3746</v>
      </c>
      <c r="D20" s="15">
        <v>42151</v>
      </c>
      <c r="E20" s="15">
        <v>45897</v>
      </c>
      <c r="F20" s="15">
        <v>27076</v>
      </c>
      <c r="G20" s="16">
        <f>IF(AND(F65&lt;&gt;0,27076&lt;&gt;0),IF(100*27076/(F65-0)&lt;0.005,"*",100*27076/(F65-0)),0)</f>
        <v>0.94572127139364304</v>
      </c>
    </row>
    <row r="21" spans="1:7" x14ac:dyDescent="0.2">
      <c r="A21" s="9" t="s">
        <v>109</v>
      </c>
      <c r="B21" s="15">
        <v>7878</v>
      </c>
      <c r="C21" s="15">
        <v>655</v>
      </c>
      <c r="D21" s="15">
        <v>7367</v>
      </c>
      <c r="E21" s="15">
        <v>8022</v>
      </c>
      <c r="F21" s="15">
        <v>4732</v>
      </c>
      <c r="G21" s="16">
        <f>IF(AND(F65&lt;&gt;0,4732&lt;&gt;0),IF(100*4732/(F65-0)&lt;0.005,"*",100*4732/(F65-0)),0)</f>
        <v>0.16528117359413202</v>
      </c>
    </row>
    <row r="22" spans="1:7" x14ac:dyDescent="0.2">
      <c r="A22" s="9" t="s">
        <v>110</v>
      </c>
      <c r="B22" s="15">
        <v>24180</v>
      </c>
      <c r="C22" s="15">
        <v>2009</v>
      </c>
      <c r="D22" s="15">
        <v>22609</v>
      </c>
      <c r="E22" s="15">
        <v>24618</v>
      </c>
      <c r="F22" s="15">
        <v>14523</v>
      </c>
      <c r="G22" s="16">
        <f>IF(AND(F65&lt;&gt;0,14523&lt;&gt;0),IF(100*14523/(F65-0)&lt;0.005,"*",100*14523/(F65-0)),0)</f>
        <v>0.50726510653161017</v>
      </c>
    </row>
    <row r="23" spans="1:7" x14ac:dyDescent="0.2">
      <c r="A23" s="9" t="s">
        <v>111</v>
      </c>
      <c r="B23" s="15">
        <v>66874</v>
      </c>
      <c r="C23" s="15">
        <v>5557</v>
      </c>
      <c r="D23" s="15">
        <v>62529</v>
      </c>
      <c r="E23" s="15">
        <v>68086</v>
      </c>
      <c r="F23" s="15">
        <v>40166</v>
      </c>
      <c r="G23" s="16">
        <f>IF(AND(F65&lt;&gt;0,40166&lt;&gt;0),IF(100*40166/(F65-0)&lt;0.005,"*",100*40166/(F65-0)),0)</f>
        <v>1.4029339853300733</v>
      </c>
    </row>
    <row r="24" spans="1:7" x14ac:dyDescent="0.2">
      <c r="A24" s="9" t="s">
        <v>112</v>
      </c>
      <c r="B24" s="15">
        <v>65603</v>
      </c>
      <c r="C24" s="15">
        <v>5452</v>
      </c>
      <c r="D24" s="15">
        <v>61341</v>
      </c>
      <c r="E24" s="15">
        <v>66793</v>
      </c>
      <c r="F24" s="15">
        <v>39403</v>
      </c>
      <c r="G24" s="16">
        <f>IF(AND(F65&lt;&gt;0,39403&lt;&gt;0),IF(100*39403/(F65-0)&lt;0.005,"*",100*39403/(F65-0)),0)</f>
        <v>1.3762836185819072</v>
      </c>
    </row>
    <row r="25" spans="1:7" x14ac:dyDescent="0.2">
      <c r="A25" s="9" t="s">
        <v>113</v>
      </c>
      <c r="B25" s="15">
        <v>16415</v>
      </c>
      <c r="C25" s="15">
        <v>1364</v>
      </c>
      <c r="D25" s="15">
        <v>15348</v>
      </c>
      <c r="E25" s="15">
        <v>16712</v>
      </c>
      <c r="F25" s="15">
        <v>9859</v>
      </c>
      <c r="G25" s="16">
        <f>IF(AND(F65&lt;&gt;0,9859&lt;&gt;0),IF(100*9859/(F65-0)&lt;0.005,"*",100*9859/(F65-0)),0)</f>
        <v>0.34435906391896615</v>
      </c>
    </row>
    <row r="26" spans="1:7" x14ac:dyDescent="0.2">
      <c r="A26" s="9" t="s">
        <v>114</v>
      </c>
      <c r="B26" s="15">
        <v>96979</v>
      </c>
      <c r="C26" s="15">
        <v>8059</v>
      </c>
      <c r="D26" s="15">
        <v>90678</v>
      </c>
      <c r="E26" s="15">
        <v>98737</v>
      </c>
      <c r="F26" s="15">
        <v>58248</v>
      </c>
      <c r="G26" s="16">
        <f>IF(AND(F65&lt;&gt;0,58248&lt;&gt;0),IF(100*58248/(F65-0)&lt;0.005,"*",100*58248/(F65-0)),0)</f>
        <v>2.0345092560251485</v>
      </c>
    </row>
    <row r="27" spans="1:7" x14ac:dyDescent="0.2">
      <c r="A27" s="9" t="s">
        <v>115</v>
      </c>
      <c r="B27" s="15">
        <v>179750</v>
      </c>
      <c r="C27" s="15">
        <v>14937</v>
      </c>
      <c r="D27" s="15">
        <v>168072</v>
      </c>
      <c r="E27" s="15">
        <v>183009</v>
      </c>
      <c r="F27" s="15">
        <v>107963</v>
      </c>
      <c r="G27" s="16">
        <f>IF(AND(F65&lt;&gt;0,107963&lt;&gt;0),IF(100*107963/(F65-0)&lt;0.005,"*",100*107963/(F65-0)),0)</f>
        <v>3.7709745022703456</v>
      </c>
    </row>
    <row r="28" spans="1:7" x14ac:dyDescent="0.2">
      <c r="A28" s="9" t="s">
        <v>116</v>
      </c>
      <c r="B28" s="15">
        <v>75917</v>
      </c>
      <c r="C28" s="15">
        <v>6309</v>
      </c>
      <c r="D28" s="15">
        <v>70985</v>
      </c>
      <c r="E28" s="15">
        <v>77294</v>
      </c>
      <c r="F28" s="15">
        <v>45598</v>
      </c>
      <c r="G28" s="16">
        <f>IF(AND(F65&lt;&gt;0,45598&lt;&gt;0),IF(100*45598/(F65-0)&lt;0.005,"*",100*45598/(F65-0)),0)</f>
        <v>1.5926650366748167</v>
      </c>
    </row>
    <row r="29" spans="1:7" x14ac:dyDescent="0.2">
      <c r="A29" s="9" t="s">
        <v>117</v>
      </c>
      <c r="B29" s="15">
        <v>55089</v>
      </c>
      <c r="C29" s="15">
        <v>4578</v>
      </c>
      <c r="D29" s="15">
        <v>51510</v>
      </c>
      <c r="E29" s="15">
        <v>56088</v>
      </c>
      <c r="F29" s="15">
        <v>33088</v>
      </c>
      <c r="G29" s="16">
        <f>IF(AND(F65&lt;&gt;0,33088&lt;&gt;0),IF(100*33088/(F65-0)&lt;0.005,"*",100*33088/(F65-0)),0)</f>
        <v>1.1557107928746071</v>
      </c>
    </row>
    <row r="30" spans="1:7" x14ac:dyDescent="0.2">
      <c r="A30" s="9" t="s">
        <v>118</v>
      </c>
      <c r="B30" s="15">
        <v>28822</v>
      </c>
      <c r="C30" s="15">
        <v>2395</v>
      </c>
      <c r="D30" s="15">
        <v>26949</v>
      </c>
      <c r="E30" s="15">
        <v>29344</v>
      </c>
      <c r="F30" s="15">
        <v>17311</v>
      </c>
      <c r="G30" s="16">
        <f>IF(AND(F65&lt;&gt;0,17311&lt;&gt;0),IF(100*17311/(F65-0)&lt;0.005,"*",100*17311/(F65-0)),0)</f>
        <v>0.60464547677261615</v>
      </c>
    </row>
    <row r="31" spans="1:7" x14ac:dyDescent="0.2">
      <c r="A31" s="9" t="s">
        <v>119</v>
      </c>
      <c r="B31" s="15">
        <v>48516</v>
      </c>
      <c r="C31" s="15">
        <v>4032</v>
      </c>
      <c r="D31" s="15">
        <v>45364</v>
      </c>
      <c r="E31" s="15">
        <v>49396</v>
      </c>
      <c r="F31" s="15">
        <v>29140</v>
      </c>
      <c r="G31" s="16">
        <f>IF(AND(F65&lt;&gt;0,29140&lt;&gt;0),IF(100*29140/(F65-0)&lt;0.005,"*",100*29140/(F65-0)),0)</f>
        <v>1.0178134823611595</v>
      </c>
    </row>
    <row r="32" spans="1:7" x14ac:dyDescent="0.2">
      <c r="A32" s="9" t="s">
        <v>120</v>
      </c>
      <c r="B32" s="15">
        <v>6267</v>
      </c>
      <c r="C32" s="15">
        <v>521</v>
      </c>
      <c r="D32" s="15">
        <v>5860</v>
      </c>
      <c r="E32" s="15">
        <v>6381</v>
      </c>
      <c r="F32" s="15">
        <v>3764</v>
      </c>
      <c r="G32" s="16">
        <f>IF(AND(F65&lt;&gt;0,3764&lt;&gt;0),IF(100*3764/(F65-0)&lt;0.005,"*",100*3764/(F65-0)),0)</f>
        <v>0.13147048550471532</v>
      </c>
    </row>
    <row r="33" spans="1:7" x14ac:dyDescent="0.2">
      <c r="A33" s="9" t="s">
        <v>121</v>
      </c>
      <c r="B33" s="15">
        <v>16141</v>
      </c>
      <c r="C33" s="15">
        <v>1341</v>
      </c>
      <c r="D33" s="15">
        <v>15093</v>
      </c>
      <c r="E33" s="15">
        <v>16434</v>
      </c>
      <c r="F33" s="15">
        <v>9695</v>
      </c>
      <c r="G33" s="16">
        <f>IF(AND(F65&lt;&gt;0,9695&lt;&gt;0),IF(100*9695/(F65-0)&lt;0.005,"*",100*9695/(F65-0)),0)</f>
        <v>0.33863080684596575</v>
      </c>
    </row>
    <row r="34" spans="1:7" x14ac:dyDescent="0.2">
      <c r="A34" s="9" t="s">
        <v>122</v>
      </c>
      <c r="B34" s="15">
        <v>17011</v>
      </c>
      <c r="C34" s="15">
        <v>1414</v>
      </c>
      <c r="D34" s="15">
        <v>15905</v>
      </c>
      <c r="E34" s="15">
        <v>17319</v>
      </c>
      <c r="F34" s="15">
        <v>10217</v>
      </c>
      <c r="G34" s="16">
        <f>IF(AND(F65&lt;&gt;0,10217&lt;&gt;0),IF(100*10217/(F65-0)&lt;0.005,"*",100*10217/(F65-0)),0)</f>
        <v>0.35686342996856446</v>
      </c>
    </row>
    <row r="35" spans="1:7" x14ac:dyDescent="0.2">
      <c r="A35" s="9" t="s">
        <v>123</v>
      </c>
      <c r="B35" s="15">
        <v>13642</v>
      </c>
      <c r="C35" s="15">
        <v>1134</v>
      </c>
      <c r="D35" s="15">
        <v>12756</v>
      </c>
      <c r="E35" s="15">
        <v>13890</v>
      </c>
      <c r="F35" s="15">
        <v>8194</v>
      </c>
      <c r="G35" s="16">
        <f>IF(AND(F65&lt;&gt;0,8194&lt;&gt;0),IF(100*8194/(F65-0)&lt;0.005,"*",100*8194/(F65-0)),0)</f>
        <v>0.28620328326929795</v>
      </c>
    </row>
    <row r="36" spans="1:7" x14ac:dyDescent="0.2">
      <c r="A36" s="9" t="s">
        <v>124</v>
      </c>
      <c r="B36" s="15">
        <v>172116</v>
      </c>
      <c r="C36" s="15">
        <v>14303</v>
      </c>
      <c r="D36" s="15">
        <v>160935</v>
      </c>
      <c r="E36" s="15">
        <v>175238</v>
      </c>
      <c r="F36" s="15">
        <v>103378</v>
      </c>
      <c r="G36" s="16">
        <f>IF(AND(F65&lt;&gt;0,103378&lt;&gt;0),IF(100*103378/(F65-0)&lt;0.005,"*",100*103378/(F65-0)),0)</f>
        <v>3.6108278030038421</v>
      </c>
    </row>
    <row r="37" spans="1:7" x14ac:dyDescent="0.2">
      <c r="A37" s="9" t="s">
        <v>125</v>
      </c>
      <c r="B37" s="15">
        <v>13043</v>
      </c>
      <c r="C37" s="15">
        <v>1084</v>
      </c>
      <c r="D37" s="15">
        <v>12196</v>
      </c>
      <c r="E37" s="15">
        <v>13280</v>
      </c>
      <c r="F37" s="15">
        <v>7834</v>
      </c>
      <c r="G37" s="16">
        <f>IF(AND(F65&lt;&gt;0,7834&lt;&gt;0),IF(100*7834/(F65-0)&lt;0.005,"*",100*7834/(F65-0)),0)</f>
        <v>0.27362906042612645</v>
      </c>
    </row>
    <row r="38" spans="1:7" x14ac:dyDescent="0.2">
      <c r="A38" s="9" t="s">
        <v>126</v>
      </c>
      <c r="B38" s="15">
        <v>1124818</v>
      </c>
      <c r="C38" s="15">
        <v>93474</v>
      </c>
      <c r="D38" s="15">
        <v>1051743</v>
      </c>
      <c r="E38" s="15">
        <v>1145217</v>
      </c>
      <c r="F38" s="15">
        <v>675598</v>
      </c>
      <c r="G38" s="16">
        <f>IF(AND(F65&lt;&gt;0,675598&lt;&gt;0),IF(100*675598/(F65-0)&lt;0.005,"*",100*675598/(F65-0)),0)</f>
        <v>23.597555012224937</v>
      </c>
    </row>
    <row r="39" spans="1:7" x14ac:dyDescent="0.2">
      <c r="A39" s="9" t="s">
        <v>127</v>
      </c>
      <c r="B39" s="15">
        <v>115275</v>
      </c>
      <c r="C39" s="15">
        <v>9580</v>
      </c>
      <c r="D39" s="15">
        <v>107787</v>
      </c>
      <c r="E39" s="15">
        <v>117367</v>
      </c>
      <c r="F39" s="15">
        <v>69238</v>
      </c>
      <c r="G39" s="16">
        <f>IF(AND(F65&lt;&gt;0,69238&lt;&gt;0),IF(100*69238/(F65-0)&lt;0.005,"*",100*69238/(F65-0)),0)</f>
        <v>2.4183723367097452</v>
      </c>
    </row>
    <row r="40" spans="1:7" x14ac:dyDescent="0.2">
      <c r="A40" s="9" t="s">
        <v>128</v>
      </c>
      <c r="B40" s="15">
        <v>3688</v>
      </c>
      <c r="C40" s="15">
        <v>306</v>
      </c>
      <c r="D40" s="15">
        <v>3448</v>
      </c>
      <c r="E40" s="15">
        <v>3754</v>
      </c>
      <c r="F40" s="15">
        <v>2215</v>
      </c>
      <c r="G40" s="16">
        <f>IF(AND(F65&lt;&gt;0,2215&lt;&gt;0),IF(100*2215/(F65-0)&lt;0.005,"*",100*2215/(F65-0)),0)</f>
        <v>7.7366398882291298E-2</v>
      </c>
    </row>
    <row r="41" spans="1:7" x14ac:dyDescent="0.2">
      <c r="A41" s="9" t="s">
        <v>129</v>
      </c>
      <c r="B41" s="15">
        <v>209579</v>
      </c>
      <c r="C41" s="15">
        <v>17416</v>
      </c>
      <c r="D41" s="15">
        <v>195963</v>
      </c>
      <c r="E41" s="15">
        <v>213379</v>
      </c>
      <c r="F41" s="15">
        <v>125879</v>
      </c>
      <c r="G41" s="16">
        <f>IF(AND(F65&lt;&gt;0,125879&lt;&gt;0),IF(100*125879/(F65-0)&lt;0.005,"*",100*125879/(F65-0)),0)</f>
        <v>4.3967516590988476</v>
      </c>
    </row>
    <row r="42" spans="1:7" x14ac:dyDescent="0.2">
      <c r="A42" s="9" t="s">
        <v>130</v>
      </c>
      <c r="B42" s="15">
        <v>44887</v>
      </c>
      <c r="C42" s="15">
        <v>3730</v>
      </c>
      <c r="D42" s="15">
        <v>41972</v>
      </c>
      <c r="E42" s="15">
        <v>45702</v>
      </c>
      <c r="F42" s="15">
        <v>26961</v>
      </c>
      <c r="G42" s="16">
        <f>IF(AND(F65&lt;&gt;0,26961&lt;&gt;0),IF(100*26961/(F65-0)&lt;0.005,"*",100*26961/(F65-0)),0)</f>
        <v>0.94170450576318543</v>
      </c>
    </row>
    <row r="43" spans="1:7" x14ac:dyDescent="0.2">
      <c r="A43" s="9" t="s">
        <v>131</v>
      </c>
      <c r="B43" s="15">
        <v>19599</v>
      </c>
      <c r="C43" s="15">
        <v>1629</v>
      </c>
      <c r="D43" s="15">
        <v>18326</v>
      </c>
      <c r="E43" s="15">
        <v>19955</v>
      </c>
      <c r="F43" s="15">
        <v>11772</v>
      </c>
      <c r="G43" s="16">
        <f>IF(AND(F65&lt;&gt;0,11772&lt;&gt;0),IF(100*11772/(F65-0)&lt;0.005,"*",100*11772/(F65-0)),0)</f>
        <v>0.41117708697170802</v>
      </c>
    </row>
    <row r="44" spans="1:7" x14ac:dyDescent="0.2">
      <c r="A44" s="9" t="s">
        <v>132</v>
      </c>
      <c r="B44" s="15">
        <v>353709</v>
      </c>
      <c r="C44" s="15">
        <v>29394</v>
      </c>
      <c r="D44" s="15">
        <v>330730</v>
      </c>
      <c r="E44" s="15">
        <v>360124</v>
      </c>
      <c r="F44" s="15">
        <v>212448</v>
      </c>
      <c r="G44" s="16">
        <f>IF(AND(F65&lt;&gt;0,212448&lt;&gt;0),IF(100*212448/(F65-0)&lt;0.005,"*",100*212448/(F65-0)),0)</f>
        <v>7.4204680405169405</v>
      </c>
    </row>
    <row r="45" spans="1:7" x14ac:dyDescent="0.2">
      <c r="A45" s="9" t="s">
        <v>133</v>
      </c>
      <c r="B45" s="15">
        <v>40449</v>
      </c>
      <c r="C45" s="15">
        <v>3361</v>
      </c>
      <c r="D45" s="15">
        <v>37821</v>
      </c>
      <c r="E45" s="15">
        <v>41182</v>
      </c>
      <c r="F45" s="15">
        <v>24295</v>
      </c>
      <c r="G45" s="16">
        <f>IF(AND(F65&lt;&gt;0,24295&lt;&gt;0),IF(100*24295/(F65-0)&lt;0.005,"*",100*24295/(F65-0)),0)</f>
        <v>0.84858539993014326</v>
      </c>
    </row>
    <row r="46" spans="1:7" x14ac:dyDescent="0.2">
      <c r="A46" s="9" t="s">
        <v>134</v>
      </c>
      <c r="B46" s="15">
        <v>54418</v>
      </c>
      <c r="C46" s="15">
        <v>4522</v>
      </c>
      <c r="D46" s="15">
        <v>50883</v>
      </c>
      <c r="E46" s="15">
        <v>55405</v>
      </c>
      <c r="F46" s="15">
        <v>32685</v>
      </c>
      <c r="G46" s="16">
        <f>IF(AND(F65&lt;&gt;0,32685&lt;&gt;0),IF(100*32685/(F65-0)&lt;0.005,"*",100*32685/(F65-0)),0)</f>
        <v>1.1416346489696123</v>
      </c>
    </row>
    <row r="47" spans="1:7" x14ac:dyDescent="0.2">
      <c r="A47" s="9" t="s">
        <v>135</v>
      </c>
      <c r="B47" s="15">
        <v>3186</v>
      </c>
      <c r="C47" s="15">
        <v>265</v>
      </c>
      <c r="D47" s="15">
        <v>2980</v>
      </c>
      <c r="E47" s="15">
        <v>3245</v>
      </c>
      <c r="F47" s="15">
        <v>1914</v>
      </c>
      <c r="G47" s="16">
        <f>IF(AND(F65&lt;&gt;0,1914&lt;&gt;0),IF(100*1914/(F65-0)&lt;0.005,"*",100*1914/(F65-0)),0)</f>
        <v>6.6852951449528464E-2</v>
      </c>
    </row>
    <row r="48" spans="1:7" x14ac:dyDescent="0.2">
      <c r="A48" s="9" t="s">
        <v>136</v>
      </c>
      <c r="B48" s="15">
        <v>101554</v>
      </c>
      <c r="C48" s="15">
        <v>8439</v>
      </c>
      <c r="D48" s="15">
        <v>94956</v>
      </c>
      <c r="E48" s="15">
        <v>103395</v>
      </c>
      <c r="F48" s="15">
        <v>60996</v>
      </c>
      <c r="G48" s="16">
        <f>IF(AND(F65&lt;&gt;0,60996&lt;&gt;0),IF(100*60996/(F65-0)&lt;0.005,"*",100*60996/(F65-0)),0)</f>
        <v>2.1304924903946909</v>
      </c>
    </row>
    <row r="49" spans="1:7" x14ac:dyDescent="0.2">
      <c r="A49" s="9" t="s">
        <v>137</v>
      </c>
      <c r="B49" s="15">
        <v>170203</v>
      </c>
      <c r="C49" s="15">
        <v>14144</v>
      </c>
      <c r="D49" s="15">
        <v>159146</v>
      </c>
      <c r="E49" s="15">
        <v>173290</v>
      </c>
      <c r="F49" s="15">
        <v>102229</v>
      </c>
      <c r="G49" s="16">
        <f>IF(AND(F65&lt;&gt;0,102229&lt;&gt;0),IF(100*102229/(F65-0)&lt;0.005,"*",100*102229/(F65-0)),0)</f>
        <v>3.5706950750960531</v>
      </c>
    </row>
    <row r="50" spans="1:7" x14ac:dyDescent="0.2">
      <c r="A50" s="9" t="s">
        <v>138</v>
      </c>
      <c r="B50" s="15">
        <v>4117</v>
      </c>
      <c r="C50" s="15">
        <v>342</v>
      </c>
      <c r="D50" s="15">
        <v>3850</v>
      </c>
      <c r="E50" s="15">
        <v>4192</v>
      </c>
      <c r="F50" s="15">
        <v>2473</v>
      </c>
      <c r="G50" s="16">
        <f>IF(AND(F65&lt;&gt;0,2473&lt;&gt;0),IF(100*2473/(F65-0)&lt;0.005,"*",100*2473/(F65-0)),0)</f>
        <v>8.6377925253230875E-2</v>
      </c>
    </row>
    <row r="51" spans="1:7" x14ac:dyDescent="0.2">
      <c r="A51" s="9" t="s">
        <v>139</v>
      </c>
      <c r="B51" s="15">
        <v>3885</v>
      </c>
      <c r="C51" s="15">
        <v>323</v>
      </c>
      <c r="D51" s="15">
        <v>3633</v>
      </c>
      <c r="E51" s="15">
        <v>3956</v>
      </c>
      <c r="F51" s="15">
        <v>2334</v>
      </c>
      <c r="G51" s="16">
        <f>IF(AND(F65&lt;&gt;0,2334&lt;&gt;0),IF(100*2334/(F65-0)&lt;0.005,"*",100*2334/(F65-0)),0)</f>
        <v>8.152287809989521E-2</v>
      </c>
    </row>
    <row r="52" spans="1:7" x14ac:dyDescent="0.2">
      <c r="A52" s="9" t="s">
        <v>140</v>
      </c>
      <c r="B52" s="15">
        <v>78634</v>
      </c>
      <c r="C52" s="15">
        <v>6535</v>
      </c>
      <c r="D52" s="15">
        <v>73526</v>
      </c>
      <c r="E52" s="15">
        <v>80061</v>
      </c>
      <c r="F52" s="15">
        <v>47230</v>
      </c>
      <c r="G52" s="16">
        <f>IF(AND(F65&lt;&gt;0,47230&lt;&gt;0),IF(100*47230/(F65-0)&lt;0.005,"*",100*47230/(F65-0)),0)</f>
        <v>1.6496681802305275</v>
      </c>
    </row>
    <row r="53" spans="1:7" x14ac:dyDescent="0.2">
      <c r="A53" s="9" t="s">
        <v>141</v>
      </c>
      <c r="B53" s="15">
        <v>59948</v>
      </c>
      <c r="C53" s="15">
        <v>4982</v>
      </c>
      <c r="D53" s="15">
        <v>56053</v>
      </c>
      <c r="E53" s="15">
        <v>61035</v>
      </c>
      <c r="F53" s="15">
        <v>36006</v>
      </c>
      <c r="G53" s="16">
        <f>IF(AND(F65&lt;&gt;0,36006&lt;&gt;0),IF(100*36006/(F65-0)&lt;0.005,"*",100*36006/(F65-0)),0)</f>
        <v>1.2576318546978693</v>
      </c>
    </row>
    <row r="54" spans="1:7" x14ac:dyDescent="0.2">
      <c r="A54" s="9" t="s">
        <v>142</v>
      </c>
      <c r="B54" s="15">
        <v>20420</v>
      </c>
      <c r="C54" s="15">
        <v>1697</v>
      </c>
      <c r="D54" s="15">
        <v>19094</v>
      </c>
      <c r="E54" s="15">
        <v>20791</v>
      </c>
      <c r="F54" s="15">
        <v>12265</v>
      </c>
      <c r="G54" s="16">
        <f>IF(AND(F65&lt;&gt;0,12265&lt;&gt;0),IF(100*12265/(F65-0)&lt;0.005,"*",100*12265/(F65-0)),0)</f>
        <v>0.42839678658749564</v>
      </c>
    </row>
    <row r="55" spans="1:7" x14ac:dyDescent="0.2">
      <c r="A55" s="9" t="s">
        <v>143</v>
      </c>
      <c r="B55" s="15">
        <v>19781</v>
      </c>
      <c r="C55" s="15">
        <v>1644</v>
      </c>
      <c r="D55" s="15">
        <v>18496</v>
      </c>
      <c r="E55" s="15">
        <v>20140</v>
      </c>
      <c r="F55" s="15">
        <v>11881</v>
      </c>
      <c r="G55" s="16">
        <f>IF(AND(F65&lt;&gt;0,11881&lt;&gt;0),IF(100*11881/(F65-0)&lt;0.005,"*",100*11881/(F65-0)),0)</f>
        <v>0.41498428222144601</v>
      </c>
    </row>
    <row r="56" spans="1:7" x14ac:dyDescent="0.2">
      <c r="A56" s="9" t="s">
        <v>144</v>
      </c>
      <c r="B56" s="15">
        <v>2327</v>
      </c>
      <c r="C56" s="15">
        <v>193</v>
      </c>
      <c r="D56" s="15">
        <v>2175</v>
      </c>
      <c r="E56" s="15">
        <v>2368</v>
      </c>
      <c r="F56" s="15">
        <v>1397</v>
      </c>
      <c r="G56" s="16">
        <f>IF(AND(F65&lt;&gt;0,1397&lt;&gt;0),IF(100*1397/(F65-0)&lt;0.005,"*",100*1397/(F65-0)),0)</f>
        <v>4.8794970310862731E-2</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5023</v>
      </c>
      <c r="C58" s="15">
        <v>417</v>
      </c>
      <c r="D58" s="15">
        <v>4697</v>
      </c>
      <c r="E58" s="15">
        <v>5114</v>
      </c>
      <c r="F58" s="15">
        <v>3017</v>
      </c>
      <c r="G58" s="16">
        <f>IF(AND(F65&lt;&gt;0,3017&lt;&gt;0),IF(100*3017/(F65-0)&lt;0.005,"*",100*3017/(F65-0)),0)</f>
        <v>0.10537897310513447</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270265</v>
      </c>
      <c r="C60" s="15">
        <v>22459</v>
      </c>
      <c r="D60" s="15">
        <v>252707</v>
      </c>
      <c r="E60" s="15">
        <v>275166</v>
      </c>
      <c r="F60" s="15">
        <v>162329</v>
      </c>
      <c r="G60" s="16">
        <f>IF(AND(F65&lt;&gt;0,162329&lt;&gt;0),IF(100*162329/(F65-0)&lt;0.005,"*",100*162329/(F65-0)),0)</f>
        <v>5.6698917219699618</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22690</v>
      </c>
      <c r="C62" s="15">
        <v>1886</v>
      </c>
      <c r="D62" s="15">
        <v>21216</v>
      </c>
      <c r="E62" s="15">
        <v>23102</v>
      </c>
      <c r="F62" s="15">
        <v>13628</v>
      </c>
      <c r="G62" s="16">
        <f>IF(AND(F65&lt;&gt;0,13628&lt;&gt;0),IF(100*13628/(F65-0)&lt;0.005,"*",100*13628/(F65-0)),0)</f>
        <v>0.47600419140761441</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141714+9376+21484+37340+126382+31304+77770+13378+65722+133229+125810+29126+1406+274853+45079+7878+24180+66874+65603+16415+96979+179750+75917+55089+28822+48516+6267+16141+17011+13642+172116+13043+1124818+115275+3688+209579+44887+19599+353709+40449+54418+3186+101554+170203+4117+3885+78634+59948+20420+19781+2327+0+5023+0+270265+0+22690+0+0+0</f>
        <v>4766671</v>
      </c>
      <c r="C65" s="18">
        <f>11777+779+1785+3103+10503+2601+6463+1112+5462+11071+10455+2420+117+22841+3746+655+2009+5557+5452+1364+8059+14937+6309+4578+2395+4032+521+1341+1414+1134+14303+1084+93474+9580+306+17416+3730+1629+29394+3361+4522+265+8439+14144+342+323+6535+4982+1697+1644+193+0+417+0+22459+0+1886+0+0+0</f>
        <v>396117</v>
      </c>
      <c r="D65" s="18">
        <f>132508+8766+20088+34913+118172+29270+72718+12509+61451+124573+117636+27234+1315+256998+42151+7367+22609+62529+61341+15348+90678+168072+70985+51510+26949+45364+5860+15093+15905+12756+160935+12196+1051743+107787+3448+195963+41972+18326+330730+37821+50883+2980+94956+159146+3850+3633+73526+56053+19094+18496+2175+0+4697+0+252707+0+21216+0+0+0</f>
        <v>4457001</v>
      </c>
      <c r="E65" s="18">
        <f>SUM(C65:D65)</f>
        <v>4853118</v>
      </c>
      <c r="F65" s="18">
        <f>85118+5631+12904+22427+75909+18802+46711+8035+39474+80021+75565+17494+845+165085+27076+4732+14523+40166+39403+9859+58248+107963+45598+33088+17311+29140+3764+9695+10217+8194+103378+7834+675598+69238+2215+125879+26961+11772+212448+24295+32685+1914+60996+102229+2473+2334+47230+36006+12265+11881+1397+0+3017+0+162329+0+13628+0+0+0</f>
        <v>2863000</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workbookViewId="0"/>
  </sheetViews>
  <sheetFormatPr defaultRowHeight="12.75" x14ac:dyDescent="0.2"/>
  <cols>
    <col min="1" max="1" width="30.7109375" customWidth="1"/>
    <col min="2" max="7" width="11.7109375" customWidth="1"/>
  </cols>
  <sheetData>
    <row r="1" spans="1:7" ht="38.25" customHeight="1" x14ac:dyDescent="0.2">
      <c r="A1" s="10" t="s">
        <v>289</v>
      </c>
      <c r="B1" s="8"/>
      <c r="C1" s="8"/>
      <c r="D1" s="8"/>
      <c r="E1" s="8"/>
      <c r="F1" s="8"/>
      <c r="G1" s="10" t="s">
        <v>302</v>
      </c>
    </row>
    <row r="2" spans="1:7" x14ac:dyDescent="0.2">
      <c r="A2" s="11" t="s">
        <v>303</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83543</v>
      </c>
      <c r="C6" s="15">
        <v>2724</v>
      </c>
      <c r="D6" s="15">
        <v>82314</v>
      </c>
      <c r="E6" s="15">
        <v>85038</v>
      </c>
      <c r="F6" s="15">
        <v>0</v>
      </c>
      <c r="G6" s="16">
        <f>IF(AND(F65&lt;&gt;0,0&lt;&gt;0),IF(100*0/(F65-0)&lt;0.005,"*",100*0/(F65-0)),0)</f>
        <v>0</v>
      </c>
    </row>
    <row r="7" spans="1:7" x14ac:dyDescent="0.2">
      <c r="A7" s="9" t="s">
        <v>95</v>
      </c>
      <c r="B7" s="15">
        <v>3087</v>
      </c>
      <c r="C7" s="15">
        <v>101</v>
      </c>
      <c r="D7" s="15">
        <v>3041</v>
      </c>
      <c r="E7" s="15">
        <v>3142</v>
      </c>
      <c r="F7" s="15">
        <v>0</v>
      </c>
      <c r="G7" s="16">
        <f>IF(AND(F65&lt;&gt;0,0&lt;&gt;0),IF(100*0/(F65-0)&lt;0.005,"*",100*0/(F65-0)),0)</f>
        <v>0</v>
      </c>
    </row>
    <row r="8" spans="1:7" x14ac:dyDescent="0.2">
      <c r="A8" s="9" t="s">
        <v>96</v>
      </c>
      <c r="B8" s="15">
        <v>10345</v>
      </c>
      <c r="C8" s="15">
        <v>337</v>
      </c>
      <c r="D8" s="15">
        <v>10193</v>
      </c>
      <c r="E8" s="15">
        <v>10530</v>
      </c>
      <c r="F8" s="15">
        <v>0</v>
      </c>
      <c r="G8" s="16">
        <f>IF(AND(F65&lt;&gt;0,0&lt;&gt;0),IF(100*0/(F65-0)&lt;0.005,"*",100*0/(F65-0)),0)</f>
        <v>0</v>
      </c>
    </row>
    <row r="9" spans="1:7" x14ac:dyDescent="0.2">
      <c r="A9" s="9" t="s">
        <v>97</v>
      </c>
      <c r="B9" s="15">
        <v>30535</v>
      </c>
      <c r="C9" s="15">
        <v>996</v>
      </c>
      <c r="D9" s="15">
        <v>30086</v>
      </c>
      <c r="E9" s="15">
        <v>31082</v>
      </c>
      <c r="F9" s="15">
        <v>0</v>
      </c>
      <c r="G9" s="16">
        <f>IF(AND(F65&lt;&gt;0,0&lt;&gt;0),IF(100*0/(F65-0)&lt;0.005,"*",100*0/(F65-0)),0)</f>
        <v>0</v>
      </c>
    </row>
    <row r="10" spans="1:7" x14ac:dyDescent="0.2">
      <c r="A10" s="9" t="s">
        <v>98</v>
      </c>
      <c r="B10" s="15">
        <v>94885</v>
      </c>
      <c r="C10" s="15">
        <v>3094</v>
      </c>
      <c r="D10" s="15">
        <v>93488</v>
      </c>
      <c r="E10" s="15">
        <v>96582</v>
      </c>
      <c r="F10" s="15">
        <v>0</v>
      </c>
      <c r="G10" s="16">
        <f>IF(AND(F65&lt;&gt;0,0&lt;&gt;0),IF(100*0/(F65-0)&lt;0.005,"*",100*0/(F65-0)),0)</f>
        <v>0</v>
      </c>
    </row>
    <row r="11" spans="1:7" x14ac:dyDescent="0.2">
      <c r="A11" s="9" t="s">
        <v>99</v>
      </c>
      <c r="B11" s="15">
        <v>16802</v>
      </c>
      <c r="C11" s="15">
        <v>548</v>
      </c>
      <c r="D11" s="15">
        <v>16554</v>
      </c>
      <c r="E11" s="15">
        <v>17102</v>
      </c>
      <c r="F11" s="15">
        <v>0</v>
      </c>
      <c r="G11" s="16">
        <f>IF(AND(F65&lt;&gt;0,0&lt;&gt;0),IF(100*0/(F65-0)&lt;0.005,"*",100*0/(F65-0)),0)</f>
        <v>0</v>
      </c>
    </row>
    <row r="12" spans="1:7" x14ac:dyDescent="0.2">
      <c r="A12" s="9" t="s">
        <v>100</v>
      </c>
      <c r="B12" s="15">
        <v>35911</v>
      </c>
      <c r="C12" s="15">
        <v>1171</v>
      </c>
      <c r="D12" s="15">
        <v>35383</v>
      </c>
      <c r="E12" s="15">
        <v>36554</v>
      </c>
      <c r="F12" s="15">
        <v>0</v>
      </c>
      <c r="G12" s="16">
        <f>IF(AND(F65&lt;&gt;0,0&lt;&gt;0),IF(100*0/(F65-0)&lt;0.005,"*",100*0/(F65-0)),0)</f>
        <v>0</v>
      </c>
    </row>
    <row r="13" spans="1:7" x14ac:dyDescent="0.2">
      <c r="A13" s="9" t="s">
        <v>101</v>
      </c>
      <c r="B13" s="15">
        <v>6442</v>
      </c>
      <c r="C13" s="15">
        <v>210</v>
      </c>
      <c r="D13" s="15">
        <v>6347</v>
      </c>
      <c r="E13" s="15">
        <v>6557</v>
      </c>
      <c r="F13" s="15">
        <v>0</v>
      </c>
      <c r="G13" s="16">
        <f>IF(AND(F65&lt;&gt;0,0&lt;&gt;0),IF(100*0/(F65-0)&lt;0.005,"*",100*0/(F65-0)),0)</f>
        <v>0</v>
      </c>
    </row>
    <row r="14" spans="1:7" x14ac:dyDescent="0.2">
      <c r="A14" s="9" t="s">
        <v>102</v>
      </c>
      <c r="B14" s="15">
        <v>21968</v>
      </c>
      <c r="C14" s="15">
        <v>716</v>
      </c>
      <c r="D14" s="15">
        <v>21645</v>
      </c>
      <c r="E14" s="15">
        <v>22361</v>
      </c>
      <c r="F14" s="15">
        <v>0</v>
      </c>
      <c r="G14" s="16">
        <f>IF(AND(F65&lt;&gt;0,0&lt;&gt;0),IF(100*0/(F65-0)&lt;0.005,"*",100*0/(F65-0)),0)</f>
        <v>0</v>
      </c>
    </row>
    <row r="15" spans="1:7" x14ac:dyDescent="0.2">
      <c r="A15" s="9" t="s">
        <v>103</v>
      </c>
      <c r="B15" s="15">
        <v>71156</v>
      </c>
      <c r="C15" s="15">
        <v>2320</v>
      </c>
      <c r="D15" s="15">
        <v>70109</v>
      </c>
      <c r="E15" s="15">
        <v>72429</v>
      </c>
      <c r="F15" s="15">
        <v>0</v>
      </c>
      <c r="G15" s="16">
        <f>IF(AND(F65&lt;&gt;0,0&lt;&gt;0),IF(100*0/(F65-0)&lt;0.005,"*",100*0/(F65-0)),0)</f>
        <v>0</v>
      </c>
    </row>
    <row r="16" spans="1:7" x14ac:dyDescent="0.2">
      <c r="A16" s="9" t="s">
        <v>104</v>
      </c>
      <c r="B16" s="15">
        <v>88024</v>
      </c>
      <c r="C16" s="15">
        <v>2870</v>
      </c>
      <c r="D16" s="15">
        <v>86728</v>
      </c>
      <c r="E16" s="15">
        <v>89598</v>
      </c>
      <c r="F16" s="15">
        <v>0</v>
      </c>
      <c r="G16" s="16">
        <f>IF(AND(F65&lt;&gt;0,0&lt;&gt;0),IF(100*0/(F65-0)&lt;0.005,"*",100*0/(F65-0)),0)</f>
        <v>0</v>
      </c>
    </row>
    <row r="17" spans="1:7" x14ac:dyDescent="0.2">
      <c r="A17" s="9" t="s">
        <v>105</v>
      </c>
      <c r="B17" s="15">
        <v>13994</v>
      </c>
      <c r="C17" s="15">
        <v>456</v>
      </c>
      <c r="D17" s="15">
        <v>13788</v>
      </c>
      <c r="E17" s="15">
        <v>14244</v>
      </c>
      <c r="F17" s="15">
        <v>0</v>
      </c>
      <c r="G17" s="16">
        <f>IF(AND(F65&lt;&gt;0,0&lt;&gt;0),IF(100*0/(F65-0)&lt;0.005,"*",100*0/(F65-0)),0)</f>
        <v>0</v>
      </c>
    </row>
    <row r="18" spans="1:7" x14ac:dyDescent="0.2">
      <c r="A18" s="9" t="s">
        <v>106</v>
      </c>
      <c r="B18" s="15">
        <v>1542</v>
      </c>
      <c r="C18" s="15">
        <v>50</v>
      </c>
      <c r="D18" s="15">
        <v>1519</v>
      </c>
      <c r="E18" s="15">
        <v>1569</v>
      </c>
      <c r="F18" s="15">
        <v>0</v>
      </c>
      <c r="G18" s="16">
        <f>IF(AND(F65&lt;&gt;0,0&lt;&gt;0),IF(100*0/(F65-0)&lt;0.005,"*",100*0/(F65-0)),0)</f>
        <v>0</v>
      </c>
    </row>
    <row r="19" spans="1:7" x14ac:dyDescent="0.2">
      <c r="A19" s="9" t="s">
        <v>107</v>
      </c>
      <c r="B19" s="15">
        <v>156711</v>
      </c>
      <c r="C19" s="15">
        <v>5109</v>
      </c>
      <c r="D19" s="15">
        <v>154405</v>
      </c>
      <c r="E19" s="15">
        <v>159514</v>
      </c>
      <c r="F19" s="15">
        <v>0</v>
      </c>
      <c r="G19" s="16">
        <f>IF(AND(F65&lt;&gt;0,0&lt;&gt;0),IF(100*0/(F65-0)&lt;0.005,"*",100*0/(F65-0)),0)</f>
        <v>0</v>
      </c>
    </row>
    <row r="20" spans="1:7" x14ac:dyDescent="0.2">
      <c r="A20" s="9" t="s">
        <v>108</v>
      </c>
      <c r="B20" s="15">
        <v>33844</v>
      </c>
      <c r="C20" s="15">
        <v>1103</v>
      </c>
      <c r="D20" s="15">
        <v>33346</v>
      </c>
      <c r="E20" s="15">
        <v>34449</v>
      </c>
      <c r="F20" s="15">
        <v>0</v>
      </c>
      <c r="G20" s="16">
        <f>IF(AND(F65&lt;&gt;0,0&lt;&gt;0),IF(100*0/(F65-0)&lt;0.005,"*",100*0/(F65-0)),0)</f>
        <v>0</v>
      </c>
    </row>
    <row r="21" spans="1:7" x14ac:dyDescent="0.2">
      <c r="A21" s="9" t="s">
        <v>109</v>
      </c>
      <c r="B21" s="15">
        <v>7302</v>
      </c>
      <c r="C21" s="15">
        <v>238</v>
      </c>
      <c r="D21" s="15">
        <v>7194</v>
      </c>
      <c r="E21" s="15">
        <v>7432</v>
      </c>
      <c r="F21" s="15">
        <v>0</v>
      </c>
      <c r="G21" s="16">
        <f>IF(AND(F65&lt;&gt;0,0&lt;&gt;0),IF(100*0/(F65-0)&lt;0.005,"*",100*0/(F65-0)),0)</f>
        <v>0</v>
      </c>
    </row>
    <row r="22" spans="1:7" x14ac:dyDescent="0.2">
      <c r="A22" s="9" t="s">
        <v>110</v>
      </c>
      <c r="B22" s="15">
        <v>17389</v>
      </c>
      <c r="C22" s="15">
        <v>567</v>
      </c>
      <c r="D22" s="15">
        <v>17134</v>
      </c>
      <c r="E22" s="15">
        <v>17701</v>
      </c>
      <c r="F22" s="15">
        <v>0</v>
      </c>
      <c r="G22" s="16">
        <f>IF(AND(F65&lt;&gt;0,0&lt;&gt;0),IF(100*0/(F65-0)&lt;0.005,"*",100*0/(F65-0)),0)</f>
        <v>0</v>
      </c>
    </row>
    <row r="23" spans="1:7" x14ac:dyDescent="0.2">
      <c r="A23" s="9" t="s">
        <v>111</v>
      </c>
      <c r="B23" s="15">
        <v>51740</v>
      </c>
      <c r="C23" s="15">
        <v>1687</v>
      </c>
      <c r="D23" s="15">
        <v>50978</v>
      </c>
      <c r="E23" s="15">
        <v>52665</v>
      </c>
      <c r="F23" s="15">
        <v>0</v>
      </c>
      <c r="G23" s="16">
        <f>IF(AND(F65&lt;&gt;0,0&lt;&gt;0),IF(100*0/(F65-0)&lt;0.005,"*",100*0/(F65-0)),0)</f>
        <v>0</v>
      </c>
    </row>
    <row r="24" spans="1:7" x14ac:dyDescent="0.2">
      <c r="A24" s="9" t="s">
        <v>112</v>
      </c>
      <c r="B24" s="15">
        <v>57798</v>
      </c>
      <c r="C24" s="15">
        <v>1884</v>
      </c>
      <c r="D24" s="15">
        <v>56948</v>
      </c>
      <c r="E24" s="15">
        <v>58832</v>
      </c>
      <c r="F24" s="15">
        <v>0</v>
      </c>
      <c r="G24" s="16">
        <f>IF(AND(F65&lt;&gt;0,0&lt;&gt;0),IF(100*0/(F65-0)&lt;0.005,"*",100*0/(F65-0)),0)</f>
        <v>0</v>
      </c>
    </row>
    <row r="25" spans="1:7" x14ac:dyDescent="0.2">
      <c r="A25" s="9" t="s">
        <v>113</v>
      </c>
      <c r="B25" s="15">
        <v>8916</v>
      </c>
      <c r="C25" s="15">
        <v>291</v>
      </c>
      <c r="D25" s="15">
        <v>8785</v>
      </c>
      <c r="E25" s="15">
        <v>9076</v>
      </c>
      <c r="F25" s="15">
        <v>0</v>
      </c>
      <c r="G25" s="16">
        <f>IF(AND(F65&lt;&gt;0,0&lt;&gt;0),IF(100*0/(F65-0)&lt;0.005,"*",100*0/(F65-0)),0)</f>
        <v>0</v>
      </c>
    </row>
    <row r="26" spans="1:7" x14ac:dyDescent="0.2">
      <c r="A26" s="9" t="s">
        <v>114</v>
      </c>
      <c r="B26" s="15">
        <v>35561</v>
      </c>
      <c r="C26" s="15">
        <v>1159</v>
      </c>
      <c r="D26" s="15">
        <v>35038</v>
      </c>
      <c r="E26" s="15">
        <v>36197</v>
      </c>
      <c r="F26" s="15">
        <v>0</v>
      </c>
      <c r="G26" s="16">
        <f>IF(AND(F65&lt;&gt;0,0&lt;&gt;0),IF(100*0/(F65-0)&lt;0.005,"*",100*0/(F65-0)),0)</f>
        <v>0</v>
      </c>
    </row>
    <row r="27" spans="1:7" x14ac:dyDescent="0.2">
      <c r="A27" s="9" t="s">
        <v>115</v>
      </c>
      <c r="B27" s="15">
        <v>84984</v>
      </c>
      <c r="C27" s="15">
        <v>2771</v>
      </c>
      <c r="D27" s="15">
        <v>83733</v>
      </c>
      <c r="E27" s="15">
        <v>86504</v>
      </c>
      <c r="F27" s="15">
        <v>0</v>
      </c>
      <c r="G27" s="16">
        <f>IF(AND(F65&lt;&gt;0,0&lt;&gt;0),IF(100*0/(F65-0)&lt;0.005,"*",100*0/(F65-0)),0)</f>
        <v>0</v>
      </c>
    </row>
    <row r="28" spans="1:7" x14ac:dyDescent="0.2">
      <c r="A28" s="9" t="s">
        <v>116</v>
      </c>
      <c r="B28" s="15">
        <v>48850</v>
      </c>
      <c r="C28" s="15">
        <v>1593</v>
      </c>
      <c r="D28" s="15">
        <v>48131</v>
      </c>
      <c r="E28" s="15">
        <v>49724</v>
      </c>
      <c r="F28" s="15">
        <v>0</v>
      </c>
      <c r="G28" s="16">
        <f>IF(AND(F65&lt;&gt;0,0&lt;&gt;0),IF(100*0/(F65-0)&lt;0.005,"*",100*0/(F65-0)),0)</f>
        <v>0</v>
      </c>
    </row>
    <row r="29" spans="1:7" x14ac:dyDescent="0.2">
      <c r="A29" s="9" t="s">
        <v>117</v>
      </c>
      <c r="B29" s="15">
        <v>46432</v>
      </c>
      <c r="C29" s="15">
        <v>1514</v>
      </c>
      <c r="D29" s="15">
        <v>45749</v>
      </c>
      <c r="E29" s="15">
        <v>47263</v>
      </c>
      <c r="F29" s="15">
        <v>0</v>
      </c>
      <c r="G29" s="16">
        <f>IF(AND(F65&lt;&gt;0,0&lt;&gt;0),IF(100*0/(F65-0)&lt;0.005,"*",100*0/(F65-0)),0)</f>
        <v>0</v>
      </c>
    </row>
    <row r="30" spans="1:7" x14ac:dyDescent="0.2">
      <c r="A30" s="9" t="s">
        <v>118</v>
      </c>
      <c r="B30" s="15">
        <v>21980</v>
      </c>
      <c r="C30" s="15">
        <v>717</v>
      </c>
      <c r="D30" s="15">
        <v>21656</v>
      </c>
      <c r="E30" s="15">
        <v>22373</v>
      </c>
      <c r="F30" s="15">
        <v>0</v>
      </c>
      <c r="G30" s="16">
        <f>IF(AND(F65&lt;&gt;0,0&lt;&gt;0),IF(100*0/(F65-0)&lt;0.005,"*",100*0/(F65-0)),0)</f>
        <v>0</v>
      </c>
    </row>
    <row r="31" spans="1:7" x14ac:dyDescent="0.2">
      <c r="A31" s="9" t="s">
        <v>119</v>
      </c>
      <c r="B31" s="15">
        <v>38271</v>
      </c>
      <c r="C31" s="15">
        <v>1248</v>
      </c>
      <c r="D31" s="15">
        <v>37708</v>
      </c>
      <c r="E31" s="15">
        <v>38956</v>
      </c>
      <c r="F31" s="15">
        <v>0</v>
      </c>
      <c r="G31" s="16">
        <f>IF(AND(F65&lt;&gt;0,0&lt;&gt;0),IF(100*0/(F65-0)&lt;0.005,"*",100*0/(F65-0)),0)</f>
        <v>0</v>
      </c>
    </row>
    <row r="32" spans="1:7" x14ac:dyDescent="0.2">
      <c r="A32" s="9" t="s">
        <v>120</v>
      </c>
      <c r="B32" s="15">
        <v>4340</v>
      </c>
      <c r="C32" s="15">
        <v>142</v>
      </c>
      <c r="D32" s="15">
        <v>4276</v>
      </c>
      <c r="E32" s="15">
        <v>4418</v>
      </c>
      <c r="F32" s="15">
        <v>0</v>
      </c>
      <c r="G32" s="16">
        <f>IF(AND(F65&lt;&gt;0,0&lt;&gt;0),IF(100*0/(F65-0)&lt;0.005,"*",100*0/(F65-0)),0)</f>
        <v>0</v>
      </c>
    </row>
    <row r="33" spans="1:7" x14ac:dyDescent="0.2">
      <c r="A33" s="9" t="s">
        <v>121</v>
      </c>
      <c r="B33" s="15">
        <v>13778</v>
      </c>
      <c r="C33" s="15">
        <v>449</v>
      </c>
      <c r="D33" s="15">
        <v>13575</v>
      </c>
      <c r="E33" s="15">
        <v>14024</v>
      </c>
      <c r="F33" s="15">
        <v>0</v>
      </c>
      <c r="G33" s="16">
        <f>IF(AND(F65&lt;&gt;0,0&lt;&gt;0),IF(100*0/(F65-0)&lt;0.005,"*",100*0/(F65-0)),0)</f>
        <v>0</v>
      </c>
    </row>
    <row r="34" spans="1:7" x14ac:dyDescent="0.2">
      <c r="A34" s="9" t="s">
        <v>122</v>
      </c>
      <c r="B34" s="15">
        <v>6584</v>
      </c>
      <c r="C34" s="15">
        <v>215</v>
      </c>
      <c r="D34" s="15">
        <v>6487</v>
      </c>
      <c r="E34" s="15">
        <v>6702</v>
      </c>
      <c r="F34" s="15">
        <v>0</v>
      </c>
      <c r="G34" s="16">
        <f>IF(AND(F65&lt;&gt;0,0&lt;&gt;0),IF(100*0/(F65-0)&lt;0.005,"*",100*0/(F65-0)),0)</f>
        <v>0</v>
      </c>
    </row>
    <row r="35" spans="1:7" x14ac:dyDescent="0.2">
      <c r="A35" s="9" t="s">
        <v>123</v>
      </c>
      <c r="B35" s="15">
        <v>8330</v>
      </c>
      <c r="C35" s="15">
        <v>272</v>
      </c>
      <c r="D35" s="15">
        <v>8208</v>
      </c>
      <c r="E35" s="15">
        <v>8480</v>
      </c>
      <c r="F35" s="15">
        <v>0</v>
      </c>
      <c r="G35" s="16">
        <f>IF(AND(F65&lt;&gt;0,0&lt;&gt;0),IF(100*0/(F65-0)&lt;0.005,"*",100*0/(F65-0)),0)</f>
        <v>0</v>
      </c>
    </row>
    <row r="36" spans="1:7" x14ac:dyDescent="0.2">
      <c r="A36" s="9" t="s">
        <v>124</v>
      </c>
      <c r="B36" s="15">
        <v>89330</v>
      </c>
      <c r="C36" s="15">
        <v>2913</v>
      </c>
      <c r="D36" s="15">
        <v>88016</v>
      </c>
      <c r="E36" s="15">
        <v>90929</v>
      </c>
      <c r="F36" s="15">
        <v>0</v>
      </c>
      <c r="G36" s="16">
        <f>IF(AND(F65&lt;&gt;0,0&lt;&gt;0),IF(100*0/(F65-0)&lt;0.005,"*",100*0/(F65-0)),0)</f>
        <v>0</v>
      </c>
    </row>
    <row r="37" spans="1:7" x14ac:dyDescent="0.2">
      <c r="A37" s="9" t="s">
        <v>125</v>
      </c>
      <c r="B37" s="15">
        <v>9143</v>
      </c>
      <c r="C37" s="15">
        <v>298</v>
      </c>
      <c r="D37" s="15">
        <v>9009</v>
      </c>
      <c r="E37" s="15">
        <v>9307</v>
      </c>
      <c r="F37" s="15">
        <v>0</v>
      </c>
      <c r="G37" s="16">
        <f>IF(AND(F65&lt;&gt;0,0&lt;&gt;0),IF(100*0/(F65-0)&lt;0.005,"*",100*0/(F65-0)),0)</f>
        <v>0</v>
      </c>
    </row>
    <row r="38" spans="1:7" x14ac:dyDescent="0.2">
      <c r="A38" s="9" t="s">
        <v>126</v>
      </c>
      <c r="B38" s="15">
        <v>626361</v>
      </c>
      <c r="C38" s="15">
        <v>20422</v>
      </c>
      <c r="D38" s="15">
        <v>617142</v>
      </c>
      <c r="E38" s="15">
        <v>637564</v>
      </c>
      <c r="F38" s="15">
        <v>0</v>
      </c>
      <c r="G38" s="16">
        <f>IF(AND(F65&lt;&gt;0,0&lt;&gt;0),IF(100*0/(F65-0)&lt;0.005,"*",100*0/(F65-0)),0)</f>
        <v>0</v>
      </c>
    </row>
    <row r="39" spans="1:7" x14ac:dyDescent="0.2">
      <c r="A39" s="9" t="s">
        <v>127</v>
      </c>
      <c r="B39" s="15">
        <v>65023</v>
      </c>
      <c r="C39" s="15">
        <v>2120</v>
      </c>
      <c r="D39" s="15">
        <v>64066</v>
      </c>
      <c r="E39" s="15">
        <v>66186</v>
      </c>
      <c r="F39" s="15">
        <v>0</v>
      </c>
      <c r="G39" s="16">
        <f>IF(AND(F65&lt;&gt;0,0&lt;&gt;0),IF(100*0/(F65-0)&lt;0.005,"*",100*0/(F65-0)),0)</f>
        <v>0</v>
      </c>
    </row>
    <row r="40" spans="1:7" x14ac:dyDescent="0.2">
      <c r="A40" s="9" t="s">
        <v>128</v>
      </c>
      <c r="B40" s="15">
        <v>5763</v>
      </c>
      <c r="C40" s="15">
        <v>188</v>
      </c>
      <c r="D40" s="15">
        <v>5678</v>
      </c>
      <c r="E40" s="15">
        <v>5866</v>
      </c>
      <c r="F40" s="15">
        <v>0</v>
      </c>
      <c r="G40" s="16">
        <f>IF(AND(F65&lt;&gt;0,0&lt;&gt;0),IF(100*0/(F65-0)&lt;0.005,"*",100*0/(F65-0)),0)</f>
        <v>0</v>
      </c>
    </row>
    <row r="41" spans="1:7" x14ac:dyDescent="0.2">
      <c r="A41" s="9" t="s">
        <v>129</v>
      </c>
      <c r="B41" s="15">
        <v>108478</v>
      </c>
      <c r="C41" s="15">
        <v>3537</v>
      </c>
      <c r="D41" s="15">
        <v>106881</v>
      </c>
      <c r="E41" s="15">
        <v>110418</v>
      </c>
      <c r="F41" s="15">
        <v>0</v>
      </c>
      <c r="G41" s="16">
        <f>IF(AND(F65&lt;&gt;0,0&lt;&gt;0),IF(100*0/(F65-0)&lt;0.005,"*",100*0/(F65-0)),0)</f>
        <v>0</v>
      </c>
    </row>
    <row r="42" spans="1:7" x14ac:dyDescent="0.2">
      <c r="A42" s="9" t="s">
        <v>130</v>
      </c>
      <c r="B42" s="15">
        <v>25545</v>
      </c>
      <c r="C42" s="15">
        <v>833</v>
      </c>
      <c r="D42" s="15">
        <v>25169</v>
      </c>
      <c r="E42" s="15">
        <v>26002</v>
      </c>
      <c r="F42" s="15">
        <v>0</v>
      </c>
      <c r="G42" s="16">
        <f>IF(AND(F65&lt;&gt;0,0&lt;&gt;0),IF(100*0/(F65-0)&lt;0.005,"*",100*0/(F65-0)),0)</f>
        <v>0</v>
      </c>
    </row>
    <row r="43" spans="1:7" x14ac:dyDescent="0.2">
      <c r="A43" s="9" t="s">
        <v>131</v>
      </c>
      <c r="B43" s="15">
        <v>11152</v>
      </c>
      <c r="C43" s="15">
        <v>364</v>
      </c>
      <c r="D43" s="15">
        <v>10988</v>
      </c>
      <c r="E43" s="15">
        <v>11352</v>
      </c>
      <c r="F43" s="15">
        <v>0</v>
      </c>
      <c r="G43" s="16">
        <f>IF(AND(F65&lt;&gt;0,0&lt;&gt;0),IF(100*0/(F65-0)&lt;0.005,"*",100*0/(F65-0)),0)</f>
        <v>0</v>
      </c>
    </row>
    <row r="44" spans="1:7" x14ac:dyDescent="0.2">
      <c r="A44" s="9" t="s">
        <v>132</v>
      </c>
      <c r="B44" s="15">
        <v>169690</v>
      </c>
      <c r="C44" s="15">
        <v>5533</v>
      </c>
      <c r="D44" s="15">
        <v>167193</v>
      </c>
      <c r="E44" s="15">
        <v>172726</v>
      </c>
      <c r="F44" s="15">
        <v>0</v>
      </c>
      <c r="G44" s="16">
        <f>IF(AND(F65&lt;&gt;0,0&lt;&gt;0),IF(100*0/(F65-0)&lt;0.005,"*",100*0/(F65-0)),0)</f>
        <v>0</v>
      </c>
    </row>
    <row r="45" spans="1:7" x14ac:dyDescent="0.2">
      <c r="A45" s="9" t="s">
        <v>133</v>
      </c>
      <c r="B45" s="15">
        <v>20877</v>
      </c>
      <c r="C45" s="15">
        <v>681</v>
      </c>
      <c r="D45" s="15">
        <v>20570</v>
      </c>
      <c r="E45" s="15">
        <v>21251</v>
      </c>
      <c r="F45" s="15">
        <v>0</v>
      </c>
      <c r="G45" s="16">
        <f>IF(AND(F65&lt;&gt;0,0&lt;&gt;0),IF(100*0/(F65-0)&lt;0.005,"*",100*0/(F65-0)),0)</f>
        <v>0</v>
      </c>
    </row>
    <row r="46" spans="1:7" x14ac:dyDescent="0.2">
      <c r="A46" s="9" t="s">
        <v>134</v>
      </c>
      <c r="B46" s="15">
        <v>32356</v>
      </c>
      <c r="C46" s="15">
        <v>1055</v>
      </c>
      <c r="D46" s="15">
        <v>31880</v>
      </c>
      <c r="E46" s="15">
        <v>32935</v>
      </c>
      <c r="F46" s="15">
        <v>0</v>
      </c>
      <c r="G46" s="16">
        <f>IF(AND(F65&lt;&gt;0,0&lt;&gt;0),IF(100*0/(F65-0)&lt;0.005,"*",100*0/(F65-0)),0)</f>
        <v>0</v>
      </c>
    </row>
    <row r="47" spans="1:7" x14ac:dyDescent="0.2">
      <c r="A47" s="9" t="s">
        <v>135</v>
      </c>
      <c r="B47" s="15">
        <v>3775</v>
      </c>
      <c r="C47" s="15">
        <v>123</v>
      </c>
      <c r="D47" s="15">
        <v>3720</v>
      </c>
      <c r="E47" s="15">
        <v>3843</v>
      </c>
      <c r="F47" s="15">
        <v>0</v>
      </c>
      <c r="G47" s="16">
        <f>IF(AND(F65&lt;&gt;0,0&lt;&gt;0),IF(100*0/(F65-0)&lt;0.005,"*",100*0/(F65-0)),0)</f>
        <v>0</v>
      </c>
    </row>
    <row r="48" spans="1:7" x14ac:dyDescent="0.2">
      <c r="A48" s="9" t="s">
        <v>136</v>
      </c>
      <c r="B48" s="15">
        <v>65250</v>
      </c>
      <c r="C48" s="15">
        <v>2127</v>
      </c>
      <c r="D48" s="15">
        <v>64289</v>
      </c>
      <c r="E48" s="15">
        <v>66416</v>
      </c>
      <c r="F48" s="15">
        <v>0</v>
      </c>
      <c r="G48" s="16">
        <f>IF(AND(F65&lt;&gt;0,0&lt;&gt;0),IF(100*0/(F65-0)&lt;0.005,"*",100*0/(F65-0)),0)</f>
        <v>0</v>
      </c>
    </row>
    <row r="49" spans="1:7" x14ac:dyDescent="0.2">
      <c r="A49" s="9" t="s">
        <v>137</v>
      </c>
      <c r="B49" s="15">
        <v>106627</v>
      </c>
      <c r="C49" s="15">
        <v>3477</v>
      </c>
      <c r="D49" s="15">
        <v>105057</v>
      </c>
      <c r="E49" s="15">
        <v>108534</v>
      </c>
      <c r="F49" s="15">
        <v>0</v>
      </c>
      <c r="G49" s="16">
        <f>IF(AND(F65&lt;&gt;0,0&lt;&gt;0),IF(100*0/(F65-0)&lt;0.005,"*",100*0/(F65-0)),0)</f>
        <v>0</v>
      </c>
    </row>
    <row r="50" spans="1:7" x14ac:dyDescent="0.2">
      <c r="A50" s="9" t="s">
        <v>138</v>
      </c>
      <c r="B50" s="15">
        <v>4321</v>
      </c>
      <c r="C50" s="15">
        <v>141</v>
      </c>
      <c r="D50" s="15">
        <v>4257</v>
      </c>
      <c r="E50" s="15">
        <v>4398</v>
      </c>
      <c r="F50" s="15">
        <v>0</v>
      </c>
      <c r="G50" s="16">
        <f>IF(AND(F65&lt;&gt;0,0&lt;&gt;0),IF(100*0/(F65-0)&lt;0.005,"*",100*0/(F65-0)),0)</f>
        <v>0</v>
      </c>
    </row>
    <row r="51" spans="1:7" x14ac:dyDescent="0.2">
      <c r="A51" s="9" t="s">
        <v>139</v>
      </c>
      <c r="B51" s="15">
        <v>2692</v>
      </c>
      <c r="C51" s="15">
        <v>88</v>
      </c>
      <c r="D51" s="15">
        <v>2653</v>
      </c>
      <c r="E51" s="15">
        <v>2741</v>
      </c>
      <c r="F51" s="15">
        <v>0</v>
      </c>
      <c r="G51" s="16">
        <f>IF(AND(F65&lt;&gt;0,0&lt;&gt;0),IF(100*0/(F65-0)&lt;0.005,"*",100*0/(F65-0)),0)</f>
        <v>0</v>
      </c>
    </row>
    <row r="52" spans="1:7" x14ac:dyDescent="0.2">
      <c r="A52" s="9" t="s">
        <v>140</v>
      </c>
      <c r="B52" s="15">
        <v>45268</v>
      </c>
      <c r="C52" s="15">
        <v>1476</v>
      </c>
      <c r="D52" s="15">
        <v>44602</v>
      </c>
      <c r="E52" s="15">
        <v>46078</v>
      </c>
      <c r="F52" s="15">
        <v>0</v>
      </c>
      <c r="G52" s="16">
        <f>IF(AND(F65&lt;&gt;0,0&lt;&gt;0),IF(100*0/(F65-0)&lt;0.005,"*",100*0/(F65-0)),0)</f>
        <v>0</v>
      </c>
    </row>
    <row r="53" spans="1:7" x14ac:dyDescent="0.2">
      <c r="A53" s="9" t="s">
        <v>141</v>
      </c>
      <c r="B53" s="15">
        <v>35542</v>
      </c>
      <c r="C53" s="15">
        <v>1159</v>
      </c>
      <c r="D53" s="15">
        <v>35019</v>
      </c>
      <c r="E53" s="15">
        <v>36178</v>
      </c>
      <c r="F53" s="15">
        <v>0</v>
      </c>
      <c r="G53" s="16">
        <f>IF(AND(F65&lt;&gt;0,0&lt;&gt;0),IF(100*0/(F65-0)&lt;0.005,"*",100*0/(F65-0)),0)</f>
        <v>0</v>
      </c>
    </row>
    <row r="54" spans="1:7" x14ac:dyDescent="0.2">
      <c r="A54" s="9" t="s">
        <v>142</v>
      </c>
      <c r="B54" s="15">
        <v>13665</v>
      </c>
      <c r="C54" s="15">
        <v>446</v>
      </c>
      <c r="D54" s="15">
        <v>13464</v>
      </c>
      <c r="E54" s="15">
        <v>13910</v>
      </c>
      <c r="F54" s="15">
        <v>0</v>
      </c>
      <c r="G54" s="16">
        <f>IF(AND(F65&lt;&gt;0,0&lt;&gt;0),IF(100*0/(F65-0)&lt;0.005,"*",100*0/(F65-0)),0)</f>
        <v>0</v>
      </c>
    </row>
    <row r="55" spans="1:7" x14ac:dyDescent="0.2">
      <c r="A55" s="9" t="s">
        <v>143</v>
      </c>
      <c r="B55" s="15">
        <v>25495</v>
      </c>
      <c r="C55" s="15">
        <v>831</v>
      </c>
      <c r="D55" s="15">
        <v>25120</v>
      </c>
      <c r="E55" s="15">
        <v>25951</v>
      </c>
      <c r="F55" s="15">
        <v>0</v>
      </c>
      <c r="G55" s="16">
        <f>IF(AND(F65&lt;&gt;0,0&lt;&gt;0),IF(100*0/(F65-0)&lt;0.005,"*",100*0/(F65-0)),0)</f>
        <v>0</v>
      </c>
    </row>
    <row r="56" spans="1:7" x14ac:dyDescent="0.2">
      <c r="A56" s="9" t="s">
        <v>144</v>
      </c>
      <c r="B56" s="15">
        <v>1542</v>
      </c>
      <c r="C56" s="15">
        <v>50</v>
      </c>
      <c r="D56" s="15">
        <v>1519</v>
      </c>
      <c r="E56" s="15">
        <v>1569</v>
      </c>
      <c r="F56" s="15">
        <v>0</v>
      </c>
      <c r="G56" s="16">
        <f>IF(AND(F65&lt;&gt;0,0&lt;&gt;0),IF(100*0/(F65-0)&lt;0.005,"*",100*0/(F65-0)),0)</f>
        <v>0</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2236</v>
      </c>
      <c r="C58" s="15">
        <v>73</v>
      </c>
      <c r="D58" s="15">
        <v>2203</v>
      </c>
      <c r="E58" s="15">
        <v>2276</v>
      </c>
      <c r="F58" s="15">
        <v>0</v>
      </c>
      <c r="G58" s="16">
        <f>IF(AND(F65&lt;&gt;0,0&lt;&gt;0),IF(100*0/(F65-0)&lt;0.005,"*",100*0/(F65-0)),0)</f>
        <v>0</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158447</v>
      </c>
      <c r="C60" s="15">
        <v>5166</v>
      </c>
      <c r="D60" s="15">
        <v>156115</v>
      </c>
      <c r="E60" s="15">
        <v>161281</v>
      </c>
      <c r="F60" s="15">
        <v>0</v>
      </c>
      <c r="G60" s="16">
        <f>IF(AND(F65&lt;&gt;0,0&lt;&gt;0),IF(100*0/(F65-0)&lt;0.005,"*",100*0/(F65-0)),0)</f>
        <v>0</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9992</v>
      </c>
      <c r="C62" s="15">
        <v>326</v>
      </c>
      <c r="D62" s="15">
        <v>9845</v>
      </c>
      <c r="E62" s="15">
        <v>10171</v>
      </c>
      <c r="F62" s="15">
        <v>0</v>
      </c>
      <c r="G62" s="16">
        <f>IF(AND(F65&lt;&gt;0,0&lt;&gt;0),IF(100*0/(F65-0)&lt;0.005,"*",100*0/(F65-0)),0)</f>
        <v>0</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83543+3087+10345+30535+94885+16802+35911+6442+21968+71156+88024+13994+1542+156711+33844+7302+17389+51740+57798+8916+35561+84984+48850+46432+21980+38271+4340+13778+6584+8330+89330+9143+626361+65023+5763+108478+25545+11152+169690+20877+32356+3775+65250+106627+4321+2692+45268+35542+13665+25495+1542+0+2236+0+158447+0+9992+0+0+0</f>
        <v>2759614</v>
      </c>
      <c r="C65" s="18">
        <f>2724+101+337+996+3094+548+1171+210+716+2320+2870+456+50+5109+1103+238+567+1687+1884+291+1159+2771+1593+1514+717+1248+142+449+215+272+2913+298+20422+2120+188+3537+833+364+5533+681+1055+123+2127+3477+141+88+1476+1159+446+831+50+0+73+0+5166+0+326+0+0+0</f>
        <v>89979</v>
      </c>
      <c r="D65" s="18">
        <f>82314+3041+10193+30086+93488+16554+35383+6347+21645+70109+86728+13788+1519+154405+33346+7194+17134+50978+56948+8785+35038+83733+48131+45749+21656+37708+4276+13575+6487+8208+88016+9009+617142+64066+5678+106881+25169+10988+167193+20570+31880+3720+64289+105057+4257+2653+44602+35019+13464+25120+1519+0+2203+0+156115+0+9845+0+0+0</f>
        <v>2719001</v>
      </c>
      <c r="E65" s="18">
        <f>SUM(C65:D65)</f>
        <v>2808980</v>
      </c>
      <c r="F65" s="18">
        <f>0+0+0+0+0+0+0+0+0+0+0+0+0+0+0+0+0+0+0+0+0+0+0+0+0+0+0+0+0+0+0+0+0+0+0+0+0+0+0+0+0+0+0+0+0+0+0+0+0+0+0+0+0+0+0+0+0+0+0+0</f>
        <v>0</v>
      </c>
      <c r="G65" s="20" t="s">
        <v>167</v>
      </c>
    </row>
  </sheetData>
  <mergeCells count="4">
    <mergeCell ref="A4:A5"/>
    <mergeCell ref="B4:B5"/>
    <mergeCell ref="F4:F5"/>
    <mergeCell ref="G4:G5"/>
  </mergeCells>
  <pageMargins left="0.7" right="0.7" top="0.75" bottom="0.75" header="0.3" footer="0.3"/>
  <pageSetup scale="8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0" t="s">
        <v>304</v>
      </c>
      <c r="B1" s="8"/>
      <c r="C1" s="8"/>
      <c r="D1" s="8"/>
      <c r="E1" s="8"/>
      <c r="F1" s="8"/>
      <c r="G1" s="10" t="s">
        <v>305</v>
      </c>
    </row>
    <row r="2" spans="1:7" x14ac:dyDescent="0.2">
      <c r="A2" s="11" t="s">
        <v>306</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27290</v>
      </c>
      <c r="C6" s="15">
        <v>383</v>
      </c>
      <c r="D6" s="15">
        <v>25837</v>
      </c>
      <c r="E6" s="15">
        <v>26220</v>
      </c>
      <c r="F6" s="15">
        <v>27468</v>
      </c>
      <c r="G6" s="16">
        <f>IF(AND(F67&lt;&gt;0,27468&lt;&gt;0),IF(100*27468/(F67-0)&lt;0.005,"*",100*27468/(F67-0)),0)</f>
        <v>1.1095837122095007</v>
      </c>
    </row>
    <row r="7" spans="1:7" x14ac:dyDescent="0.2">
      <c r="A7" s="9" t="s">
        <v>95</v>
      </c>
      <c r="B7" s="15">
        <v>22995</v>
      </c>
      <c r="C7" s="15">
        <v>339</v>
      </c>
      <c r="D7" s="15">
        <v>22181</v>
      </c>
      <c r="E7" s="15">
        <v>22520</v>
      </c>
      <c r="F7" s="15">
        <v>23581</v>
      </c>
      <c r="G7" s="16">
        <f>IF(AND(F67&lt;&gt;0,23581&lt;&gt;0),IF(100*23581/(F67-0)&lt;0.005,"*",100*23581/(F67-0)),0)</f>
        <v>0.95256638698166007</v>
      </c>
    </row>
    <row r="8" spans="1:7" x14ac:dyDescent="0.2">
      <c r="A8" s="9" t="s">
        <v>96</v>
      </c>
      <c r="B8" s="15">
        <v>33452</v>
      </c>
      <c r="C8" s="15">
        <v>472</v>
      </c>
      <c r="D8" s="15">
        <v>32652</v>
      </c>
      <c r="E8" s="15">
        <v>33124</v>
      </c>
      <c r="F8" s="15">
        <v>34713</v>
      </c>
      <c r="G8" s="16">
        <f>IF(AND(F67&lt;&gt;0,34713&lt;&gt;0),IF(100*34713/(F67-0)&lt;0.005,"*",100*34713/(F67-0)),0)</f>
        <v>1.4022491408886122</v>
      </c>
    </row>
    <row r="9" spans="1:7" x14ac:dyDescent="0.2">
      <c r="A9" s="9" t="s">
        <v>97</v>
      </c>
      <c r="B9" s="15">
        <v>18507</v>
      </c>
      <c r="C9" s="15">
        <v>259</v>
      </c>
      <c r="D9" s="15">
        <v>17776</v>
      </c>
      <c r="E9" s="15">
        <v>18035</v>
      </c>
      <c r="F9" s="15">
        <v>18898</v>
      </c>
      <c r="G9" s="16">
        <f>IF(AND(F67&lt;&gt;0,18898&lt;&gt;0),IF(100*18898/(F67-0)&lt;0.005,"*",100*18898/(F67-0)),0)</f>
        <v>0.76339424032820535</v>
      </c>
    </row>
    <row r="10" spans="1:7" x14ac:dyDescent="0.2">
      <c r="A10" s="9" t="s">
        <v>98</v>
      </c>
      <c r="B10" s="15">
        <v>339561</v>
      </c>
      <c r="C10" s="15">
        <v>4892</v>
      </c>
      <c r="D10" s="15">
        <v>317685</v>
      </c>
      <c r="E10" s="15">
        <v>322577</v>
      </c>
      <c r="F10" s="15">
        <v>337731</v>
      </c>
      <c r="G10" s="16">
        <f>IF(AND(F67&lt;&gt;0,337731&lt;&gt;0),IF(100*337731/(F67-0)&lt;0.005,"*",100*337731/(F67-0)),0)</f>
        <v>13.642814063937196</v>
      </c>
    </row>
    <row r="11" spans="1:7" x14ac:dyDescent="0.2">
      <c r="A11" s="9" t="s">
        <v>99</v>
      </c>
      <c r="B11" s="15">
        <v>34575</v>
      </c>
      <c r="C11" s="15">
        <v>492</v>
      </c>
      <c r="D11" s="15">
        <v>33292</v>
      </c>
      <c r="E11" s="15">
        <v>33784</v>
      </c>
      <c r="F11" s="15">
        <v>35392</v>
      </c>
      <c r="G11" s="16">
        <f>IF(AND(F67&lt;&gt;0,35392&lt;&gt;0),IF(100*35392/(F67-0)&lt;0.005,"*",100*35392/(F67-0)),0)</f>
        <v>1.4296776883107125</v>
      </c>
    </row>
    <row r="12" spans="1:7" x14ac:dyDescent="0.2">
      <c r="A12" s="9" t="s">
        <v>100</v>
      </c>
      <c r="B12" s="15">
        <v>44055</v>
      </c>
      <c r="C12" s="15">
        <v>640</v>
      </c>
      <c r="D12" s="15">
        <v>43295</v>
      </c>
      <c r="E12" s="15">
        <v>43935</v>
      </c>
      <c r="F12" s="15">
        <v>46028</v>
      </c>
      <c r="G12" s="16">
        <f>IF(AND(F67&lt;&gt;0,46028&lt;&gt;0),IF(100*46028/(F67-0)&lt;0.005,"*",100*46028/(F67-0)),0)</f>
        <v>1.8593242720831114</v>
      </c>
    </row>
    <row r="13" spans="1:7" x14ac:dyDescent="0.2">
      <c r="A13" s="9" t="s">
        <v>101</v>
      </c>
      <c r="B13" s="15">
        <v>8357</v>
      </c>
      <c r="C13" s="15">
        <v>125</v>
      </c>
      <c r="D13" s="15">
        <v>7988</v>
      </c>
      <c r="E13" s="15">
        <v>8113</v>
      </c>
      <c r="F13" s="15">
        <v>8492</v>
      </c>
      <c r="G13" s="16">
        <f>IF(AND(F67&lt;&gt;0,8492&lt;&gt;0),IF(100*8492/(F67-0)&lt;0.005,"*",100*8492/(F67-0)),0)</f>
        <v>0.34303862254561968</v>
      </c>
    </row>
    <row r="14" spans="1:7" x14ac:dyDescent="0.2">
      <c r="A14" s="9" t="s">
        <v>102</v>
      </c>
      <c r="B14" s="15">
        <v>9901</v>
      </c>
      <c r="C14" s="15">
        <v>216</v>
      </c>
      <c r="D14" s="15">
        <v>8961</v>
      </c>
      <c r="E14" s="15">
        <v>9177</v>
      </c>
      <c r="F14" s="15">
        <v>9527</v>
      </c>
      <c r="G14" s="16">
        <f>IF(AND(F67&lt;&gt;0,9527&lt;&gt;0),IF(100*9527/(F67-0)&lt;0.005,"*",100*9527/(F67-0)),0)</f>
        <v>0.38484796949977845</v>
      </c>
    </row>
    <row r="15" spans="1:7" x14ac:dyDescent="0.2">
      <c r="A15" s="9" t="s">
        <v>103</v>
      </c>
      <c r="B15" s="15">
        <v>84302</v>
      </c>
      <c r="C15" s="15">
        <v>1187</v>
      </c>
      <c r="D15" s="15">
        <v>78044</v>
      </c>
      <c r="E15" s="15">
        <v>79231</v>
      </c>
      <c r="F15" s="15">
        <v>82969</v>
      </c>
      <c r="G15" s="16">
        <f>IF(AND(F67&lt;&gt;0,82969&lt;&gt;0),IF(100*82969/(F67-0)&lt;0.005,"*",100*82969/(F67-0)),0)</f>
        <v>3.3515745965599995</v>
      </c>
    </row>
    <row r="16" spans="1:7" x14ac:dyDescent="0.2">
      <c r="A16" s="9" t="s">
        <v>104</v>
      </c>
      <c r="B16" s="15">
        <v>57288</v>
      </c>
      <c r="C16" s="15">
        <v>814</v>
      </c>
      <c r="D16" s="15">
        <v>57170</v>
      </c>
      <c r="E16" s="15">
        <v>57984</v>
      </c>
      <c r="F16" s="15">
        <v>60778</v>
      </c>
      <c r="G16" s="16">
        <f>IF(AND(F67&lt;&gt;0,60778&lt;&gt;0),IF(100*60778/(F67-0)&lt;0.005,"*",100*60778/(F67-0)),0)</f>
        <v>2.4551579605602534</v>
      </c>
    </row>
    <row r="17" spans="1:7" x14ac:dyDescent="0.2">
      <c r="A17" s="9" t="s">
        <v>105</v>
      </c>
      <c r="B17" s="15">
        <v>14254</v>
      </c>
      <c r="C17" s="15">
        <v>251</v>
      </c>
      <c r="D17" s="15">
        <v>12831</v>
      </c>
      <c r="E17" s="15">
        <v>13082</v>
      </c>
      <c r="F17" s="15">
        <v>13640</v>
      </c>
      <c r="G17" s="16">
        <f>IF(AND(F67&lt;&gt;0,13640&lt;&gt;0),IF(100*13640/(F67-0)&lt;0.005,"*",100*13640/(F67-0)),0)</f>
        <v>0.55099467870021812</v>
      </c>
    </row>
    <row r="18" spans="1:7" x14ac:dyDescent="0.2">
      <c r="A18" s="9" t="s">
        <v>106</v>
      </c>
      <c r="B18" s="15">
        <v>14441</v>
      </c>
      <c r="C18" s="15">
        <v>205</v>
      </c>
      <c r="D18" s="15">
        <v>13037</v>
      </c>
      <c r="E18" s="15">
        <v>13242</v>
      </c>
      <c r="F18" s="15">
        <v>13860</v>
      </c>
      <c r="G18" s="16">
        <f>IF(AND(F67&lt;&gt;0,13860&lt;&gt;0),IF(100*13860/(F67-0)&lt;0.005,"*",100*13860/(F67-0)),0)</f>
        <v>0.55988168964699581</v>
      </c>
    </row>
    <row r="19" spans="1:7" x14ac:dyDescent="0.2">
      <c r="A19" s="9" t="s">
        <v>107</v>
      </c>
      <c r="B19" s="15">
        <v>146223</v>
      </c>
      <c r="C19" s="15">
        <v>2062</v>
      </c>
      <c r="D19" s="15">
        <v>141045</v>
      </c>
      <c r="E19" s="15">
        <v>143107</v>
      </c>
      <c r="F19" s="15">
        <v>149944</v>
      </c>
      <c r="G19" s="16">
        <f>IF(AND(F67&lt;&gt;0,149944&lt;&gt;0),IF(100*149944/(F67-0)&lt;0.005,"*",100*149944/(F67-0)),0)</f>
        <v>6.0570634972892599</v>
      </c>
    </row>
    <row r="20" spans="1:7" x14ac:dyDescent="0.2">
      <c r="A20" s="9" t="s">
        <v>108</v>
      </c>
      <c r="B20" s="15">
        <v>38151</v>
      </c>
      <c r="C20" s="15">
        <v>754</v>
      </c>
      <c r="D20" s="15">
        <v>32750</v>
      </c>
      <c r="E20" s="15">
        <v>33504</v>
      </c>
      <c r="F20" s="15">
        <v>34817</v>
      </c>
      <c r="G20" s="16">
        <f>IF(AND(F67&lt;&gt;0,34817&lt;&gt;0),IF(100*34817/(F67-0)&lt;0.005,"*",100*34817/(F67-0)),0)</f>
        <v>1.4064502733361799</v>
      </c>
    </row>
    <row r="21" spans="1:7" x14ac:dyDescent="0.2">
      <c r="A21" s="9" t="s">
        <v>109</v>
      </c>
      <c r="B21" s="15">
        <v>26107</v>
      </c>
      <c r="C21" s="15">
        <v>378</v>
      </c>
      <c r="D21" s="15">
        <v>24831</v>
      </c>
      <c r="E21" s="15">
        <v>25209</v>
      </c>
      <c r="F21" s="15">
        <v>26399</v>
      </c>
      <c r="G21" s="16">
        <f>IF(AND(F67&lt;&gt;0,26399&lt;&gt;0),IF(100*26399/(F67-0)&lt;0.005,"*",100*26399/(F67-0)),0)</f>
        <v>1.0664009181090217</v>
      </c>
    </row>
    <row r="22" spans="1:7" x14ac:dyDescent="0.2">
      <c r="A22" s="9" t="s">
        <v>110</v>
      </c>
      <c r="B22" s="15">
        <v>18663</v>
      </c>
      <c r="C22" s="15">
        <v>270</v>
      </c>
      <c r="D22" s="15">
        <v>16875</v>
      </c>
      <c r="E22" s="15">
        <v>17145</v>
      </c>
      <c r="F22" s="15">
        <v>17940</v>
      </c>
      <c r="G22" s="16">
        <f>IF(AND(F67&lt;&gt;0,17940&lt;&gt;0),IF(100*17940/(F67-0)&lt;0.005,"*",100*17940/(F67-0)),0)</f>
        <v>0.72469534720541884</v>
      </c>
    </row>
    <row r="23" spans="1:7" x14ac:dyDescent="0.2">
      <c r="A23" s="9" t="s">
        <v>111</v>
      </c>
      <c r="B23" s="15">
        <v>27697</v>
      </c>
      <c r="C23" s="15">
        <v>393</v>
      </c>
      <c r="D23" s="15">
        <v>25170</v>
      </c>
      <c r="E23" s="15">
        <v>25563</v>
      </c>
      <c r="F23" s="15">
        <v>26759</v>
      </c>
      <c r="G23" s="16">
        <f>IF(AND(F67&lt;&gt;0,26759&lt;&gt;0),IF(100*26759/(F67-0)&lt;0.005,"*",100*26759/(F67-0)),0)</f>
        <v>1.0809432996582944</v>
      </c>
    </row>
    <row r="24" spans="1:7" x14ac:dyDescent="0.2">
      <c r="A24" s="9" t="s">
        <v>112</v>
      </c>
      <c r="B24" s="15">
        <v>27420</v>
      </c>
      <c r="C24" s="15">
        <v>388</v>
      </c>
      <c r="D24" s="15">
        <v>25181</v>
      </c>
      <c r="E24" s="15">
        <v>25569</v>
      </c>
      <c r="F24" s="15">
        <v>26771</v>
      </c>
      <c r="G24" s="16">
        <f>IF(AND(F67&lt;&gt;0,26771&lt;&gt;0),IF(100*26771/(F67-0)&lt;0.005,"*",100*26771/(F67-0)),0)</f>
        <v>1.0814280457099368</v>
      </c>
    </row>
    <row r="25" spans="1:7" x14ac:dyDescent="0.2">
      <c r="A25" s="9" t="s">
        <v>113</v>
      </c>
      <c r="B25" s="15">
        <v>12777</v>
      </c>
      <c r="C25" s="15">
        <v>194</v>
      </c>
      <c r="D25" s="15">
        <v>12666</v>
      </c>
      <c r="E25" s="15">
        <v>12860</v>
      </c>
      <c r="F25" s="15">
        <v>13465</v>
      </c>
      <c r="G25" s="16">
        <f>IF(AND(F67&lt;&gt;0,13465&lt;&gt;0),IF(100*13465/(F67-0)&lt;0.005,"*",100*13465/(F67-0)),0)</f>
        <v>0.54392546544709941</v>
      </c>
    </row>
    <row r="26" spans="1:7" x14ac:dyDescent="0.2">
      <c r="A26" s="9" t="s">
        <v>114</v>
      </c>
      <c r="B26" s="15">
        <v>54172</v>
      </c>
      <c r="C26" s="15">
        <v>763</v>
      </c>
      <c r="D26" s="15">
        <v>48962</v>
      </c>
      <c r="E26" s="15">
        <v>49725</v>
      </c>
      <c r="F26" s="15">
        <v>52052</v>
      </c>
      <c r="G26" s="16">
        <f>IF(AND(F67&lt;&gt;0,52052&lt;&gt;0),IF(100*52052/(F67-0)&lt;0.005,"*",100*52052/(F67-0)),0)</f>
        <v>2.1026667900076066</v>
      </c>
    </row>
    <row r="27" spans="1:7" x14ac:dyDescent="0.2">
      <c r="A27" s="9" t="s">
        <v>115</v>
      </c>
      <c r="B27" s="15">
        <v>62006</v>
      </c>
      <c r="C27" s="15">
        <v>933</v>
      </c>
      <c r="D27" s="15">
        <v>56998</v>
      </c>
      <c r="E27" s="15">
        <v>57931</v>
      </c>
      <c r="F27" s="15">
        <v>60596</v>
      </c>
      <c r="G27" s="16">
        <f>IF(AND(F67&lt;&gt;0,60596&lt;&gt;0),IF(100*60596/(F67-0)&lt;0.005,"*",100*60596/(F67-0)),0)</f>
        <v>2.4478059787770099</v>
      </c>
    </row>
    <row r="28" spans="1:7" x14ac:dyDescent="0.2">
      <c r="A28" s="9" t="s">
        <v>116</v>
      </c>
      <c r="B28" s="15">
        <v>117133</v>
      </c>
      <c r="C28" s="15">
        <v>1744</v>
      </c>
      <c r="D28" s="15">
        <v>111616</v>
      </c>
      <c r="E28" s="15">
        <v>113360</v>
      </c>
      <c r="F28" s="15">
        <v>118660</v>
      </c>
      <c r="G28" s="16">
        <f>IF(AND(F67&lt;&gt;0,118660&lt;&gt;0),IF(100*118660/(F67-0)&lt;0.005,"*",100*118660/(F67-0)),0)</f>
        <v>4.7933305406574691</v>
      </c>
    </row>
    <row r="29" spans="1:7" x14ac:dyDescent="0.2">
      <c r="A29" s="9" t="s">
        <v>117</v>
      </c>
      <c r="B29" s="15">
        <v>40675</v>
      </c>
      <c r="C29" s="15">
        <v>567</v>
      </c>
      <c r="D29" s="15">
        <v>37014</v>
      </c>
      <c r="E29" s="15">
        <v>37581</v>
      </c>
      <c r="F29" s="15">
        <v>39350</v>
      </c>
      <c r="G29" s="16">
        <f>IF(AND(F67&lt;&gt;0,39350&lt;&gt;0),IF(100*39350/(F67-0)&lt;0.005,"*",100*39350/(F67-0)),0)</f>
        <v>1.5895630943441044</v>
      </c>
    </row>
    <row r="30" spans="1:7" x14ac:dyDescent="0.2">
      <c r="A30" s="9" t="s">
        <v>118</v>
      </c>
      <c r="B30" s="15">
        <v>19109</v>
      </c>
      <c r="C30" s="15">
        <v>282</v>
      </c>
      <c r="D30" s="15">
        <v>17631</v>
      </c>
      <c r="E30" s="15">
        <v>17913</v>
      </c>
      <c r="F30" s="15">
        <v>18744</v>
      </c>
      <c r="G30" s="16">
        <f>IF(AND(F67&lt;&gt;0,18744&lt;&gt;0),IF(100*18744/(F67-0)&lt;0.005,"*",100*18744/(F67-0)),0)</f>
        <v>0.75717333266546094</v>
      </c>
    </row>
    <row r="31" spans="1:7" x14ac:dyDescent="0.2">
      <c r="A31" s="9" t="s">
        <v>119</v>
      </c>
      <c r="B31" s="15">
        <v>37210</v>
      </c>
      <c r="C31" s="15">
        <v>598</v>
      </c>
      <c r="D31" s="15">
        <v>31738</v>
      </c>
      <c r="E31" s="15">
        <v>32336</v>
      </c>
      <c r="F31" s="15">
        <v>33740</v>
      </c>
      <c r="G31" s="16">
        <f>IF(AND(F67&lt;&gt;0,33740&lt;&gt;0),IF(100*33740/(F67-0)&lt;0.005,"*",100*33740/(F67-0)),0)</f>
        <v>1.3629443152012726</v>
      </c>
    </row>
    <row r="32" spans="1:7" x14ac:dyDescent="0.2">
      <c r="A32" s="9" t="s">
        <v>120</v>
      </c>
      <c r="B32" s="15">
        <v>9255</v>
      </c>
      <c r="C32" s="15">
        <v>143</v>
      </c>
      <c r="D32" s="15">
        <v>8078</v>
      </c>
      <c r="E32" s="15">
        <v>8221</v>
      </c>
      <c r="F32" s="15">
        <v>8588</v>
      </c>
      <c r="G32" s="16">
        <f>IF(AND(F67&lt;&gt;0,8588&lt;&gt;0),IF(100*8588/(F67-0)&lt;0.005,"*",100*8588/(F67-0)),0)</f>
        <v>0.34691659095875904</v>
      </c>
    </row>
    <row r="33" spans="1:7" x14ac:dyDescent="0.2">
      <c r="A33" s="9" t="s">
        <v>121</v>
      </c>
      <c r="B33" s="15">
        <v>14361</v>
      </c>
      <c r="C33" s="15">
        <v>207</v>
      </c>
      <c r="D33" s="15">
        <v>14156</v>
      </c>
      <c r="E33" s="15">
        <v>14363</v>
      </c>
      <c r="F33" s="15">
        <v>15050</v>
      </c>
      <c r="G33" s="16">
        <f>IF(AND(F67&lt;&gt;0,15050&lt;&gt;0),IF(100*15050/(F67-0)&lt;0.005,"*",100*15050/(F67-0)),0)</f>
        <v>0.60795233976820251</v>
      </c>
    </row>
    <row r="34" spans="1:7" x14ac:dyDescent="0.2">
      <c r="A34" s="9" t="s">
        <v>122</v>
      </c>
      <c r="B34" s="15">
        <v>23989</v>
      </c>
      <c r="C34" s="15">
        <v>343</v>
      </c>
      <c r="D34" s="15">
        <v>23499</v>
      </c>
      <c r="E34" s="15">
        <v>23842</v>
      </c>
      <c r="F34" s="15">
        <v>24982</v>
      </c>
      <c r="G34" s="16">
        <f>IF(AND(F67&lt;&gt;0,24982&lt;&gt;0),IF(100*24982/(F67-0)&lt;0.005,"*",100*24982/(F67-0)),0)</f>
        <v>1.0091604885109127</v>
      </c>
    </row>
    <row r="35" spans="1:7" x14ac:dyDescent="0.2">
      <c r="A35" s="9" t="s">
        <v>123</v>
      </c>
      <c r="B35" s="15">
        <v>11176</v>
      </c>
      <c r="C35" s="15">
        <v>162</v>
      </c>
      <c r="D35" s="15">
        <v>10760</v>
      </c>
      <c r="E35" s="15">
        <v>10922</v>
      </c>
      <c r="F35" s="15">
        <v>11439</v>
      </c>
      <c r="G35" s="16">
        <f>IF(AND(F67&lt;&gt;0,11439&lt;&gt;0),IF(100*11439/(F67-0)&lt;0.005,"*",100*11439/(F67-0)),0)</f>
        <v>0.46208417372813743</v>
      </c>
    </row>
    <row r="36" spans="1:7" x14ac:dyDescent="0.2">
      <c r="A36" s="9" t="s">
        <v>124</v>
      </c>
      <c r="B36" s="15">
        <v>102475</v>
      </c>
      <c r="C36" s="15">
        <v>1491</v>
      </c>
      <c r="D36" s="15">
        <v>97198</v>
      </c>
      <c r="E36" s="15">
        <v>98689</v>
      </c>
      <c r="F36" s="15">
        <v>103331</v>
      </c>
      <c r="G36" s="16">
        <f>IF(AND(F67&lt;&gt;0,103331&lt;&gt;0),IF(100*103331/(F67-0)&lt;0.005,"*",100*103331/(F67-0)),0)</f>
        <v>4.1741078551885806</v>
      </c>
    </row>
    <row r="37" spans="1:7" x14ac:dyDescent="0.2">
      <c r="A37" s="9" t="s">
        <v>125</v>
      </c>
      <c r="B37" s="15">
        <v>13161</v>
      </c>
      <c r="C37" s="15">
        <v>192</v>
      </c>
      <c r="D37" s="15">
        <v>12925</v>
      </c>
      <c r="E37" s="15">
        <v>13117</v>
      </c>
      <c r="F37" s="15">
        <v>13741</v>
      </c>
      <c r="G37" s="16">
        <f>IF(AND(F67&lt;&gt;0,13741&lt;&gt;0),IF(100*13741/(F67-0)&lt;0.005,"*",100*13741/(F67-0)),0)</f>
        <v>0.55507462463487511</v>
      </c>
    </row>
    <row r="38" spans="1:7" x14ac:dyDescent="0.2">
      <c r="A38" s="9" t="s">
        <v>126</v>
      </c>
      <c r="B38" s="15">
        <v>183979</v>
      </c>
      <c r="C38" s="15">
        <v>4598</v>
      </c>
      <c r="D38" s="15">
        <v>165473</v>
      </c>
      <c r="E38" s="15">
        <v>170071</v>
      </c>
      <c r="F38" s="15">
        <v>175915</v>
      </c>
      <c r="G38" s="16">
        <f>IF(AND(F67&lt;&gt;0,175915&lt;&gt;0),IF(100*175915/(F67-0)&lt;0.005,"*",100*175915/(F67-0)),0)</f>
        <v>7.1061751395563686</v>
      </c>
    </row>
    <row r="39" spans="1:7" x14ac:dyDescent="0.2">
      <c r="A39" s="9" t="s">
        <v>127</v>
      </c>
      <c r="B39" s="15">
        <v>52277</v>
      </c>
      <c r="C39" s="15">
        <v>755</v>
      </c>
      <c r="D39" s="15">
        <v>49214</v>
      </c>
      <c r="E39" s="15">
        <v>49969</v>
      </c>
      <c r="F39" s="15">
        <v>52319</v>
      </c>
      <c r="G39" s="16">
        <f>IF(AND(F67&lt;&gt;0,52319&lt;&gt;0),IF(100*52319/(F67-0)&lt;0.005,"*",100*52319/(F67-0)),0)</f>
        <v>2.1134523896566502</v>
      </c>
    </row>
    <row r="40" spans="1:7" x14ac:dyDescent="0.2">
      <c r="A40" s="9" t="s">
        <v>128</v>
      </c>
      <c r="B40" s="15">
        <v>6997</v>
      </c>
      <c r="C40" s="15">
        <v>98</v>
      </c>
      <c r="D40" s="15">
        <v>6789</v>
      </c>
      <c r="E40" s="15">
        <v>6887</v>
      </c>
      <c r="F40" s="15">
        <v>7218</v>
      </c>
      <c r="G40" s="16">
        <f>IF(AND(F67&lt;&gt;0,7218&lt;&gt;0),IF(100*7218/(F67-0)&lt;0.005,"*",100*7218/(F67-0)),0)</f>
        <v>0.291574750062916</v>
      </c>
    </row>
    <row r="41" spans="1:7" x14ac:dyDescent="0.2">
      <c r="A41" s="9" t="s">
        <v>129</v>
      </c>
      <c r="B41" s="15">
        <v>76499</v>
      </c>
      <c r="C41" s="15">
        <v>1132</v>
      </c>
      <c r="D41" s="15">
        <v>68819</v>
      </c>
      <c r="E41" s="15">
        <v>69951</v>
      </c>
      <c r="F41" s="15">
        <v>73162</v>
      </c>
      <c r="G41" s="16">
        <f>IF(AND(F67&lt;&gt;0,73162&lt;&gt;0),IF(100*73162/(F67-0)&lt;0.005,"*",100*73162/(F67-0)),0)</f>
        <v>2.9554158858552313</v>
      </c>
    </row>
    <row r="42" spans="1:7" x14ac:dyDescent="0.2">
      <c r="A42" s="9" t="s">
        <v>130</v>
      </c>
      <c r="B42" s="15">
        <v>22357</v>
      </c>
      <c r="C42" s="15">
        <v>334</v>
      </c>
      <c r="D42" s="15">
        <v>20578</v>
      </c>
      <c r="E42" s="15">
        <v>20912</v>
      </c>
      <c r="F42" s="15">
        <v>21876</v>
      </c>
      <c r="G42" s="16">
        <f>IF(AND(F67&lt;&gt;0,21876&lt;&gt;0),IF(100*21876/(F67-0)&lt;0.005,"*",100*21876/(F67-0)),0)</f>
        <v>0.88369205214413282</v>
      </c>
    </row>
    <row r="43" spans="1:7" x14ac:dyDescent="0.2">
      <c r="A43" s="9" t="s">
        <v>131</v>
      </c>
      <c r="B43" s="15">
        <v>46700</v>
      </c>
      <c r="C43" s="15">
        <v>701</v>
      </c>
      <c r="D43" s="15">
        <v>45669</v>
      </c>
      <c r="E43" s="15">
        <v>46370</v>
      </c>
      <c r="F43" s="15">
        <v>48550</v>
      </c>
      <c r="G43" s="16">
        <f>IF(AND(F67&lt;&gt;0,48550&lt;&gt;0),IF(100*48550/(F67-0)&lt;0.005,"*",100*48550/(F67-0)),0)</f>
        <v>1.9612017339366268</v>
      </c>
    </row>
    <row r="44" spans="1:7" x14ac:dyDescent="0.2">
      <c r="A44" s="9" t="s">
        <v>132</v>
      </c>
      <c r="B44" s="15">
        <v>125948</v>
      </c>
      <c r="C44" s="15">
        <v>1800</v>
      </c>
      <c r="D44" s="15">
        <v>112067</v>
      </c>
      <c r="E44" s="15">
        <v>113867</v>
      </c>
      <c r="F44" s="15">
        <v>119139</v>
      </c>
      <c r="G44" s="16">
        <f>IF(AND(F67&lt;&gt;0,119139&lt;&gt;0),IF(100*119139/(F67-0)&lt;0.005,"*",100*119139/(F67-0)),0)</f>
        <v>4.8126799872188624</v>
      </c>
    </row>
    <row r="45" spans="1:7" x14ac:dyDescent="0.2">
      <c r="A45" s="9" t="s">
        <v>133</v>
      </c>
      <c r="B45" s="15">
        <v>12346</v>
      </c>
      <c r="C45" s="15">
        <v>187</v>
      </c>
      <c r="D45" s="15">
        <v>12159</v>
      </c>
      <c r="E45" s="15">
        <v>12346</v>
      </c>
      <c r="F45" s="15">
        <v>12926</v>
      </c>
      <c r="G45" s="16">
        <f>IF(AND(F67&lt;&gt;0,12926&lt;&gt;0),IF(100*12926/(F67-0)&lt;0.005,"*",100*12926/(F67-0)),0)</f>
        <v>0.52215228862749408</v>
      </c>
    </row>
    <row r="46" spans="1:7" x14ac:dyDescent="0.2">
      <c r="A46" s="9" t="s">
        <v>134</v>
      </c>
      <c r="B46" s="15">
        <v>28030</v>
      </c>
      <c r="C46" s="15">
        <v>768</v>
      </c>
      <c r="D46" s="15">
        <v>27080</v>
      </c>
      <c r="E46" s="15">
        <v>27848</v>
      </c>
      <c r="F46" s="15">
        <v>28788</v>
      </c>
      <c r="G46" s="16">
        <f>IF(AND(F67&lt;&gt;0,28788&lt;&gt;0),IF(100*28788/(F67-0)&lt;0.005,"*",100*28788/(F67-0)),0)</f>
        <v>1.162905777890167</v>
      </c>
    </row>
    <row r="47" spans="1:7" x14ac:dyDescent="0.2">
      <c r="A47" s="9" t="s">
        <v>135</v>
      </c>
      <c r="B47" s="15">
        <v>4906</v>
      </c>
      <c r="C47" s="15">
        <v>73</v>
      </c>
      <c r="D47" s="15">
        <v>4612</v>
      </c>
      <c r="E47" s="15">
        <v>4685</v>
      </c>
      <c r="F47" s="15">
        <v>4902</v>
      </c>
      <c r="G47" s="16">
        <f>IF(AND(F67&lt;&gt;0,4902&lt;&gt;0),IF(100*4902/(F67-0)&lt;0.005,"*",100*4902/(F67-0)),0)</f>
        <v>0.19801876209592881</v>
      </c>
    </row>
    <row r="48" spans="1:7" x14ac:dyDescent="0.2">
      <c r="A48" s="9" t="s">
        <v>136</v>
      </c>
      <c r="B48" s="15">
        <v>37281</v>
      </c>
      <c r="C48" s="15">
        <v>1196</v>
      </c>
      <c r="D48" s="15">
        <v>29935</v>
      </c>
      <c r="E48" s="15">
        <v>31131</v>
      </c>
      <c r="F48" s="15">
        <v>31823</v>
      </c>
      <c r="G48" s="16">
        <f>IF(AND(F67&lt;&gt;0,31823&lt;&gt;0),IF(100*31823/(F67-0)&lt;0.005,"*",100*31823/(F67-0)),0)</f>
        <v>1.285506133451396</v>
      </c>
    </row>
    <row r="49" spans="1:7" x14ac:dyDescent="0.2">
      <c r="A49" s="9" t="s">
        <v>137</v>
      </c>
      <c r="B49" s="15">
        <v>139426</v>
      </c>
      <c r="C49" s="15">
        <v>1912</v>
      </c>
      <c r="D49" s="15">
        <v>129774</v>
      </c>
      <c r="E49" s="15">
        <v>131686</v>
      </c>
      <c r="F49" s="15">
        <v>137964</v>
      </c>
      <c r="G49" s="16">
        <f>IF(AND(F67&lt;&gt;0,137964&lt;&gt;0),IF(100*137964/(F67-0)&lt;0.005,"*",100*137964/(F67-0)),0)</f>
        <v>5.5731253557329099</v>
      </c>
    </row>
    <row r="50" spans="1:7" x14ac:dyDescent="0.2">
      <c r="A50" s="9" t="s">
        <v>138</v>
      </c>
      <c r="B50" s="15">
        <v>22751</v>
      </c>
      <c r="C50" s="15">
        <v>324</v>
      </c>
      <c r="D50" s="15">
        <v>22798</v>
      </c>
      <c r="E50" s="15">
        <v>23122</v>
      </c>
      <c r="F50" s="15">
        <v>24237</v>
      </c>
      <c r="G50" s="16">
        <f>IF(AND(F67&lt;&gt;0,24237&lt;&gt;0),IF(100*24237/(F67-0)&lt;0.005,"*",100*24237/(F67-0)),0)</f>
        <v>0.97906583780477907</v>
      </c>
    </row>
    <row r="51" spans="1:7" x14ac:dyDescent="0.2">
      <c r="A51" s="9" t="s">
        <v>139</v>
      </c>
      <c r="B51" s="15">
        <v>7181</v>
      </c>
      <c r="C51" s="15">
        <v>102</v>
      </c>
      <c r="D51" s="15">
        <v>6839</v>
      </c>
      <c r="E51" s="15">
        <v>6941</v>
      </c>
      <c r="F51" s="15">
        <v>7270</v>
      </c>
      <c r="G51" s="16">
        <f>IF(AND(F67&lt;&gt;0,7270&lt;&gt;0),IF(100*7270/(F67-0)&lt;0.005,"*",100*7270/(F67-0)),0)</f>
        <v>0.29367531628669979</v>
      </c>
    </row>
    <row r="52" spans="1:7" x14ac:dyDescent="0.2">
      <c r="A52" s="9" t="s">
        <v>140</v>
      </c>
      <c r="B52" s="15">
        <v>37993</v>
      </c>
      <c r="C52" s="15">
        <v>543</v>
      </c>
      <c r="D52" s="15">
        <v>36086</v>
      </c>
      <c r="E52" s="15">
        <v>36629</v>
      </c>
      <c r="F52" s="15">
        <v>38362</v>
      </c>
      <c r="G52" s="16">
        <f>IF(AND(F67&lt;&gt;0,38362&lt;&gt;0),IF(100*38362/(F67-0)&lt;0.005,"*",100*38362/(F67-0)),0)</f>
        <v>1.5496523360922116</v>
      </c>
    </row>
    <row r="53" spans="1:7" x14ac:dyDescent="0.2">
      <c r="A53" s="9" t="s">
        <v>141</v>
      </c>
      <c r="B53" s="15">
        <v>81025</v>
      </c>
      <c r="C53" s="15">
        <v>2116</v>
      </c>
      <c r="D53" s="15">
        <v>73058</v>
      </c>
      <c r="E53" s="15">
        <v>75174</v>
      </c>
      <c r="F53" s="15">
        <v>77668</v>
      </c>
      <c r="G53" s="16">
        <f>IF(AND(F67&lt;&gt;0,77668&lt;&gt;0),IF(100*77668/(F67-0)&lt;0.005,"*",100*77668/(F67-0)),0)</f>
        <v>3.1374380282469603</v>
      </c>
    </row>
    <row r="54" spans="1:7" x14ac:dyDescent="0.2">
      <c r="A54" s="9" t="s">
        <v>142</v>
      </c>
      <c r="B54" s="15">
        <v>11473</v>
      </c>
      <c r="C54" s="15">
        <v>176</v>
      </c>
      <c r="D54" s="15">
        <v>10128</v>
      </c>
      <c r="E54" s="15">
        <v>10304</v>
      </c>
      <c r="F54" s="15">
        <v>10768</v>
      </c>
      <c r="G54" s="16">
        <f>IF(AND(F67&lt;&gt;0,10768&lt;&gt;0),IF(100*10768/(F67-0)&lt;0.005,"*",100*10768/(F67-0)),0)</f>
        <v>0.43497879034046544</v>
      </c>
    </row>
    <row r="55" spans="1:7" x14ac:dyDescent="0.2">
      <c r="A55" s="9" t="s">
        <v>143</v>
      </c>
      <c r="B55" s="15">
        <v>60010</v>
      </c>
      <c r="C55" s="15">
        <v>852</v>
      </c>
      <c r="D55" s="15">
        <v>54716</v>
      </c>
      <c r="E55" s="15">
        <v>55568</v>
      </c>
      <c r="F55" s="15">
        <v>58168</v>
      </c>
      <c r="G55" s="16">
        <f>IF(AND(F67&lt;&gt;0,58168&lt;&gt;0),IF(100*58168/(F67-0)&lt;0.005,"*",100*58168/(F67-0)),0)</f>
        <v>2.3497256943280269</v>
      </c>
    </row>
    <row r="56" spans="1:7" x14ac:dyDescent="0.2">
      <c r="A56" s="9" t="s">
        <v>144</v>
      </c>
      <c r="B56" s="15">
        <v>8528</v>
      </c>
      <c r="C56" s="15">
        <v>121</v>
      </c>
      <c r="D56" s="15">
        <v>7766</v>
      </c>
      <c r="E56" s="15">
        <v>7887</v>
      </c>
      <c r="F56" s="15">
        <v>8257</v>
      </c>
      <c r="G56" s="16">
        <f>IF(AND(F67&lt;&gt;0,8257&lt;&gt;0),IF(100*8257/(F67-0)&lt;0.005,"*",100*8257/(F67-0)),0)</f>
        <v>0.33354567903428889</v>
      </c>
    </row>
    <row r="57" spans="1:7" x14ac:dyDescent="0.2">
      <c r="A57" s="9" t="s">
        <v>145</v>
      </c>
      <c r="B57" s="15">
        <v>0</v>
      </c>
      <c r="C57" s="15">
        <v>0</v>
      </c>
      <c r="D57" s="15">
        <v>0</v>
      </c>
      <c r="E57" s="15">
        <v>0</v>
      </c>
      <c r="F57" s="15">
        <v>0</v>
      </c>
      <c r="G57" s="16">
        <f>IF(AND(F67&lt;&gt;0,0&lt;&gt;0),IF(100*0/(F67-0)&lt;0.005,"*",100*0/(F67-0)),0)</f>
        <v>0</v>
      </c>
    </row>
    <row r="58" spans="1:7" x14ac:dyDescent="0.2">
      <c r="A58" s="9" t="s">
        <v>146</v>
      </c>
      <c r="B58" s="15">
        <v>0</v>
      </c>
      <c r="C58" s="15">
        <v>0</v>
      </c>
      <c r="D58" s="15">
        <v>0</v>
      </c>
      <c r="E58" s="15">
        <v>0</v>
      </c>
      <c r="F58" s="15">
        <v>0</v>
      </c>
      <c r="G58" s="16">
        <f>IF(AND(F67&lt;&gt;0,0&lt;&gt;0),IF(100*0/(F67-0)&lt;0.005,"*",100*0/(F67-0)),0)</f>
        <v>0</v>
      </c>
    </row>
    <row r="59" spans="1:7" x14ac:dyDescent="0.2">
      <c r="A59" s="9" t="s">
        <v>147</v>
      </c>
      <c r="B59" s="15">
        <v>0</v>
      </c>
      <c r="C59" s="15">
        <v>0</v>
      </c>
      <c r="D59" s="15">
        <v>0</v>
      </c>
      <c r="E59" s="15">
        <v>0</v>
      </c>
      <c r="F59" s="15">
        <v>0</v>
      </c>
      <c r="G59" s="16">
        <f>IF(AND(F67&lt;&gt;0,0&lt;&gt;0),IF(100*0/(F67-0)&lt;0.005,"*",100*0/(F67-0)),0)</f>
        <v>0</v>
      </c>
    </row>
    <row r="60" spans="1:7" x14ac:dyDescent="0.2">
      <c r="A60" s="9" t="s">
        <v>148</v>
      </c>
      <c r="B60" s="15">
        <v>15274</v>
      </c>
      <c r="C60" s="15">
        <v>213</v>
      </c>
      <c r="D60" s="15">
        <v>12352</v>
      </c>
      <c r="E60" s="15">
        <v>12565</v>
      </c>
      <c r="F60" s="15">
        <v>13131</v>
      </c>
      <c r="G60" s="16">
        <f>IF(AND(F67&lt;&gt;0,13131&lt;&gt;0),IF(100*13131/(F67-0)&lt;0.005,"*",100*13131/(F67-0)),0)</f>
        <v>0.53043336700971877</v>
      </c>
    </row>
    <row r="61" spans="1:7" x14ac:dyDescent="0.2">
      <c r="A61" s="9" t="s">
        <v>149</v>
      </c>
      <c r="B61" s="15">
        <v>0</v>
      </c>
      <c r="C61" s="15">
        <v>0</v>
      </c>
      <c r="D61" s="15">
        <v>0</v>
      </c>
      <c r="E61" s="15">
        <v>0</v>
      </c>
      <c r="F61" s="15">
        <v>0</v>
      </c>
      <c r="G61" s="16">
        <f>IF(AND(F67&lt;&gt;0,0&lt;&gt;0),IF(100*0/(F67-0)&lt;0.005,"*",100*0/(F67-0)),0)</f>
        <v>0</v>
      </c>
    </row>
    <row r="62" spans="1:7" x14ac:dyDescent="0.2">
      <c r="A62" s="9" t="s">
        <v>150</v>
      </c>
      <c r="B62" s="15">
        <v>2510</v>
      </c>
      <c r="C62" s="15">
        <v>63</v>
      </c>
      <c r="D62" s="15">
        <v>1598</v>
      </c>
      <c r="E62" s="15">
        <v>1661</v>
      </c>
      <c r="F62" s="15">
        <v>1699</v>
      </c>
      <c r="G62" s="16">
        <f>IF(AND(F67&lt;&gt;0,1699&lt;&gt;0),IF(100*1699/(F67-0)&lt;0.005,"*",100*1699/(F67-0)),0)</f>
        <v>6.8631961811706055E-2</v>
      </c>
    </row>
    <row r="63" spans="1:7" x14ac:dyDescent="0.2">
      <c r="A63" s="9" t="s">
        <v>151</v>
      </c>
      <c r="B63" s="15">
        <v>0</v>
      </c>
      <c r="C63" s="15">
        <v>0</v>
      </c>
      <c r="D63" s="15">
        <v>0</v>
      </c>
      <c r="E63" s="15">
        <v>0</v>
      </c>
      <c r="F63" s="15">
        <v>0</v>
      </c>
      <c r="G63" s="16">
        <f>IF(AND(F67&lt;&gt;0,0&lt;&gt;0),IF(100*0/(F67-0)&lt;0.005,"*",100*0/(F67-0)),0)</f>
        <v>0</v>
      </c>
    </row>
    <row r="64" spans="1:7" x14ac:dyDescent="0.2">
      <c r="A64" s="9" t="s">
        <v>152</v>
      </c>
      <c r="B64" s="15">
        <v>0</v>
      </c>
      <c r="C64" s="15">
        <v>0</v>
      </c>
      <c r="D64" s="15">
        <v>0</v>
      </c>
      <c r="E64" s="15">
        <v>0</v>
      </c>
      <c r="F64" s="15">
        <v>0</v>
      </c>
      <c r="G64" s="16">
        <v>0</v>
      </c>
    </row>
    <row r="65" spans="1:7" x14ac:dyDescent="0.2">
      <c r="A65" s="9" t="s">
        <v>307</v>
      </c>
      <c r="B65" s="15">
        <v>1850</v>
      </c>
      <c r="C65" s="15">
        <v>1870</v>
      </c>
      <c r="D65" s="15">
        <v>0</v>
      </c>
      <c r="E65" s="15">
        <v>1870</v>
      </c>
      <c r="F65" s="15">
        <v>1870</v>
      </c>
      <c r="G65" s="16">
        <f>IF(AND(F67&lt;&gt;0,1870&lt;&gt;0),IF(100*1870/(F67-0)&lt;0.005,"*",100*1870/(F67-0)),0)</f>
        <v>7.5539593047610543E-2</v>
      </c>
    </row>
    <row r="66" spans="1:7" ht="25.5" x14ac:dyDescent="0.2">
      <c r="A66" s="9" t="s">
        <v>308</v>
      </c>
      <c r="B66" s="15">
        <v>9990</v>
      </c>
      <c r="C66" s="15">
        <v>10066</v>
      </c>
      <c r="D66" s="15">
        <v>0</v>
      </c>
      <c r="E66" s="15">
        <v>10066</v>
      </c>
      <c r="F66" s="15">
        <v>10066</v>
      </c>
      <c r="G66" s="16">
        <f>IF(AND(F67&lt;&gt;0,10066&lt;&gt;0),IF(100*10066/(F67-0)&lt;0.005,"*",100*10066/(F67-0)),0)</f>
        <v>0.40662114631938384</v>
      </c>
    </row>
    <row r="67" spans="1:7" ht="15" customHeight="1" x14ac:dyDescent="0.2">
      <c r="A67" s="17" t="s">
        <v>93</v>
      </c>
      <c r="B67" s="18">
        <f>27290+22995+33452+18507+339561+34575+44055+8357+9901+84302+57288+14254+14441+146223+38151+26107+18663+27697+27420+12777+54172+62006+117133+40675+19109+37210+9255+14361+23989+11176+102475+13161+183979+52277+6997+76499+22357+46700+125948+12346+28030+4906+37281+139426+22751+7181+37993+81025+11473+60010+8528+0+0+0+15274+0+2510+0+0+1850+9990+0</f>
        <v>2506069</v>
      </c>
      <c r="C67" s="18">
        <f>383+339+472+259+4892+492+640+125+216+1187+814+251+205+2062+754+378+270+393+388+194+763+933+1744+567+282+598+143+207+343+162+1491+192+4598+755+98+1132+334+701+1800+187+768+73+1196+1912+324+102+543+2116+176+852+121+0+0+0+213+0+63+0+0+1870+10066+0</f>
        <v>52139</v>
      </c>
      <c r="D67" s="18">
        <f>25837+22181+32652+17776+317685+33292+43295+7988+8961+78044+57170+12831+13037+141045+32750+24831+16875+25170+25181+12666+48962+56998+111616+37014+17631+31738+8078+14156+23499+10760+97198+12925+165473+49214+6789+68819+20578+45669+112067+12159+27080+4612+29935+129774+22798+6839+36086+73058+10128+54716+7766+0+0+0+12352+0+1598+0+0+0+0+0</f>
        <v>2317352</v>
      </c>
      <c r="E67" s="18">
        <f>SUM(C67:D67)</f>
        <v>2369491</v>
      </c>
      <c r="F67" s="18">
        <f>27468+23581+34713+18898+337731+35392+46028+8492+9527+82969+60778+13640+13860+149944+34817+26399+17940+26759+26771+13465+52052+60596+118660+39350+18744+33740+8588+15050+24982+11439+103331+13741+175915+52319+7218+73162+21876+48550+119139+12926+28788+4902+31823+137964+24237+7270+38362+77668+10768+58168+8257+0+0+0+13131+0+1699+0+0+1870+10066+0</f>
        <v>2475523</v>
      </c>
      <c r="G67" s="19" t="s">
        <v>153</v>
      </c>
    </row>
    <row r="68" spans="1:7" ht="15" customHeight="1" x14ac:dyDescent="0.2">
      <c r="A68" s="66" t="s">
        <v>155</v>
      </c>
      <c r="B68" s="66"/>
      <c r="C68" s="66"/>
      <c r="D68" s="66"/>
      <c r="E68" s="66"/>
      <c r="F68" s="66"/>
      <c r="G68" s="66"/>
    </row>
  </sheetData>
  <mergeCells count="5">
    <mergeCell ref="A68:G68"/>
    <mergeCell ref="A4:A5"/>
    <mergeCell ref="B4:B5"/>
    <mergeCell ref="F4:F5"/>
    <mergeCell ref="G4:G5"/>
  </mergeCells>
  <pageMargins left="0.7" right="0.7" top="0.75" bottom="0.75" header="0.3" footer="0.3"/>
  <pageSetup scale="7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309</v>
      </c>
      <c r="B1" s="8"/>
      <c r="C1" s="8"/>
      <c r="D1" s="8"/>
      <c r="E1" s="8"/>
      <c r="F1" s="8"/>
      <c r="G1" s="10" t="s">
        <v>310</v>
      </c>
    </row>
    <row r="2" spans="1:7" x14ac:dyDescent="0.2">
      <c r="A2" s="11" t="s">
        <v>311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49905</v>
      </c>
      <c r="C6" s="15">
        <v>12940</v>
      </c>
      <c r="D6" s="15">
        <v>49109</v>
      </c>
      <c r="E6" s="15">
        <v>62049</v>
      </c>
      <c r="F6" s="15">
        <v>50795</v>
      </c>
      <c r="G6" s="16">
        <f>IF(AND(F65&lt;&gt;0,50795&lt;&gt;0),IF(100*50795/(F65-0)&lt;0.005,"*",100*50795/(F65-0)),0)</f>
        <v>1.5925553875056122</v>
      </c>
    </row>
    <row r="7" spans="1:7" x14ac:dyDescent="0.2">
      <c r="A7" s="9" t="s">
        <v>95</v>
      </c>
      <c r="B7" s="15">
        <v>233235</v>
      </c>
      <c r="C7" s="15">
        <v>51443</v>
      </c>
      <c r="D7" s="15">
        <v>211680</v>
      </c>
      <c r="E7" s="15">
        <v>263123</v>
      </c>
      <c r="F7" s="15">
        <v>205291</v>
      </c>
      <c r="G7" s="16">
        <f>IF(AND(F65&lt;&gt;0,205291&lt;&gt;0),IF(100*205291/(F65-0)&lt;0.005,"*",100*205291/(F65-0)),0)</f>
        <v>6.4364068915526058</v>
      </c>
    </row>
    <row r="8" spans="1:7" x14ac:dyDescent="0.2">
      <c r="A8" s="9" t="s">
        <v>96</v>
      </c>
      <c r="B8" s="15">
        <v>61054</v>
      </c>
      <c r="C8" s="15">
        <v>16379</v>
      </c>
      <c r="D8" s="15">
        <v>69258</v>
      </c>
      <c r="E8" s="15">
        <v>85637</v>
      </c>
      <c r="F8" s="15">
        <v>64592</v>
      </c>
      <c r="G8" s="16">
        <f>IF(AND(F65&lt;&gt;0,64592&lt;&gt;0),IF(100*64592/(F65-0)&lt;0.005,"*",100*64592/(F65-0)),0)</f>
        <v>2.0251272288564328</v>
      </c>
    </row>
    <row r="9" spans="1:7" x14ac:dyDescent="0.2">
      <c r="A9" s="9" t="s">
        <v>97</v>
      </c>
      <c r="B9" s="15">
        <v>38312</v>
      </c>
      <c r="C9" s="15">
        <v>8238</v>
      </c>
      <c r="D9" s="15">
        <v>34343</v>
      </c>
      <c r="E9" s="15">
        <v>42581</v>
      </c>
      <c r="F9" s="15">
        <v>31927</v>
      </c>
      <c r="G9" s="16">
        <f>IF(AND(F65&lt;&gt;0,31927&lt;&gt;0),IF(100*31927/(F65-0)&lt;0.005,"*",100*31927/(F65-0)),0)</f>
        <v>1.0009945045160287</v>
      </c>
    </row>
    <row r="10" spans="1:7" x14ac:dyDescent="0.2">
      <c r="A10" s="9" t="s">
        <v>98</v>
      </c>
      <c r="B10" s="15">
        <v>254658</v>
      </c>
      <c r="C10" s="15">
        <v>66164</v>
      </c>
      <c r="D10" s="15">
        <v>256210</v>
      </c>
      <c r="E10" s="15">
        <v>322374</v>
      </c>
      <c r="F10" s="15">
        <v>264362</v>
      </c>
      <c r="G10" s="16">
        <f>IF(AND(F65&lt;&gt;0,264362&lt;&gt;0),IF(100*264362/(F65-0)&lt;0.005,"*",100*264362/(F65-0)),0)</f>
        <v>8.2884364081456567</v>
      </c>
    </row>
    <row r="11" spans="1:7" x14ac:dyDescent="0.2">
      <c r="A11" s="9" t="s">
        <v>99</v>
      </c>
      <c r="B11" s="15">
        <v>81565</v>
      </c>
      <c r="C11" s="15">
        <v>17613</v>
      </c>
      <c r="D11" s="15">
        <v>68741</v>
      </c>
      <c r="E11" s="15">
        <v>86354</v>
      </c>
      <c r="F11" s="15">
        <v>69545</v>
      </c>
      <c r="G11" s="16">
        <f>IF(AND(F65&lt;&gt;0,69545&lt;&gt;0),IF(100*69545/(F65-0)&lt;0.005,"*",100*69545/(F65-0)),0)</f>
        <v>2.1804166635314064</v>
      </c>
    </row>
    <row r="12" spans="1:7" x14ac:dyDescent="0.2">
      <c r="A12" s="9" t="s">
        <v>100</v>
      </c>
      <c r="B12" s="15">
        <v>17517</v>
      </c>
      <c r="C12" s="15">
        <v>5873</v>
      </c>
      <c r="D12" s="15">
        <v>18141</v>
      </c>
      <c r="E12" s="15">
        <v>24014</v>
      </c>
      <c r="F12" s="15">
        <v>22436</v>
      </c>
      <c r="G12" s="16">
        <f>IF(AND(F65&lt;&gt;0,22436&lt;&gt;0),IF(100*22436/(F65-0)&lt;0.005,"*",100*22436/(F65-0)),0)</f>
        <v>0.70342696474211863</v>
      </c>
    </row>
    <row r="13" spans="1:7" x14ac:dyDescent="0.2">
      <c r="A13" s="9" t="s">
        <v>101</v>
      </c>
      <c r="B13" s="15">
        <v>11507</v>
      </c>
      <c r="C13" s="15">
        <v>2345</v>
      </c>
      <c r="D13" s="15">
        <v>8851</v>
      </c>
      <c r="E13" s="15">
        <v>11196</v>
      </c>
      <c r="F13" s="15">
        <v>8281</v>
      </c>
      <c r="G13" s="16">
        <f>IF(AND(F65&lt;&gt;0,8281&lt;&gt;0),IF(100*8281/(F65-0)&lt;0.005,"*",100*8281/(F65-0)),0)</f>
        <v>0.25963089209437884</v>
      </c>
    </row>
    <row r="14" spans="1:7" x14ac:dyDescent="0.2">
      <c r="A14" s="9" t="s">
        <v>102</v>
      </c>
      <c r="B14" s="15">
        <v>250</v>
      </c>
      <c r="C14" s="15">
        <v>342</v>
      </c>
      <c r="D14" s="15">
        <v>237</v>
      </c>
      <c r="E14" s="15">
        <v>579</v>
      </c>
      <c r="F14" s="15">
        <v>244</v>
      </c>
      <c r="G14" s="16">
        <f>IF(AND(F65&lt;&gt;0,244&lt;&gt;0),IF(100*244/(F65-0)&lt;0.005,"*",100*244/(F65-0)),0)</f>
        <v>7.6500347386823375E-3</v>
      </c>
    </row>
    <row r="15" spans="1:7" x14ac:dyDescent="0.2">
      <c r="A15" s="9" t="s">
        <v>103</v>
      </c>
      <c r="B15" s="15">
        <v>203535</v>
      </c>
      <c r="C15" s="15">
        <v>41293</v>
      </c>
      <c r="D15" s="15">
        <v>177993</v>
      </c>
      <c r="E15" s="15">
        <v>219286</v>
      </c>
      <c r="F15" s="15">
        <v>164563</v>
      </c>
      <c r="G15" s="16">
        <f>IF(AND(F65&lt;&gt;0,164563&lt;&gt;0),IF(100*164563/(F65-0)&lt;0.005,"*",100*164563/(F65-0)),0)</f>
        <v>5.1594781422204159</v>
      </c>
    </row>
    <row r="16" spans="1:7" x14ac:dyDescent="0.2">
      <c r="A16" s="9" t="s">
        <v>104</v>
      </c>
      <c r="B16" s="15">
        <v>80203</v>
      </c>
      <c r="C16" s="15">
        <v>18899</v>
      </c>
      <c r="D16" s="15">
        <v>77663</v>
      </c>
      <c r="E16" s="15">
        <v>96562</v>
      </c>
      <c r="F16" s="15">
        <v>74707</v>
      </c>
      <c r="G16" s="16">
        <f>IF(AND(F65&lt;&gt;0,74707&lt;&gt;0),IF(100*74707/(F65-0)&lt;0.005,"*",100*74707/(F65-0)),0)</f>
        <v>2.3422587918964815</v>
      </c>
    </row>
    <row r="17" spans="1:7" x14ac:dyDescent="0.2">
      <c r="A17" s="9" t="s">
        <v>105</v>
      </c>
      <c r="B17" s="15">
        <v>28968</v>
      </c>
      <c r="C17" s="15">
        <v>6594</v>
      </c>
      <c r="D17" s="15">
        <v>24222</v>
      </c>
      <c r="E17" s="15">
        <v>30816</v>
      </c>
      <c r="F17" s="15">
        <v>25332</v>
      </c>
      <c r="G17" s="16">
        <f>IF(AND(F65&lt;&gt;0,25332&lt;&gt;0),IF(100*25332/(F65-0)&lt;0.005,"*",100*25332/(F65-0)),0)</f>
        <v>0.79422409836188923</v>
      </c>
    </row>
    <row r="18" spans="1:7" x14ac:dyDescent="0.2">
      <c r="A18" s="9" t="s">
        <v>106</v>
      </c>
      <c r="B18" s="15">
        <v>23070</v>
      </c>
      <c r="C18" s="15">
        <v>7782</v>
      </c>
      <c r="D18" s="15">
        <v>26311</v>
      </c>
      <c r="E18" s="15">
        <v>34093</v>
      </c>
      <c r="F18" s="15">
        <v>30098</v>
      </c>
      <c r="G18" s="16">
        <f>IF(AND(F65&lt;&gt;0,30098&lt;&gt;0),IF(100*30098/(F65-0)&lt;0.005,"*",100*30098/(F65-0)),0)</f>
        <v>0.94365059657729922</v>
      </c>
    </row>
    <row r="19" spans="1:7" x14ac:dyDescent="0.2">
      <c r="A19" s="9" t="s">
        <v>107</v>
      </c>
      <c r="B19" s="15">
        <v>165193</v>
      </c>
      <c r="C19" s="15">
        <v>37697</v>
      </c>
      <c r="D19" s="15">
        <v>152398</v>
      </c>
      <c r="E19" s="15">
        <v>190095</v>
      </c>
      <c r="F19" s="15">
        <v>150136</v>
      </c>
      <c r="G19" s="16">
        <f>IF(AND(F65&lt;&gt;0,150136&lt;&gt;0),IF(100*150136/(F65-0)&lt;0.005,"*",100*150136/(F65-0)),0)</f>
        <v>4.7071541619951294</v>
      </c>
    </row>
    <row r="20" spans="1:7" x14ac:dyDescent="0.2">
      <c r="A20" s="9" t="s">
        <v>108</v>
      </c>
      <c r="B20" s="15">
        <v>55964</v>
      </c>
      <c r="C20" s="15">
        <v>15778</v>
      </c>
      <c r="D20" s="15">
        <v>61783</v>
      </c>
      <c r="E20" s="15">
        <v>77561</v>
      </c>
      <c r="F20" s="15">
        <v>62180</v>
      </c>
      <c r="G20" s="16">
        <f>IF(AND(F65&lt;&gt;0,62180&lt;&gt;0),IF(100*62180/(F65-0)&lt;0.005,"*",100*62180/(F65-0)),0)</f>
        <v>1.9495047543084745</v>
      </c>
    </row>
    <row r="21" spans="1:7" x14ac:dyDescent="0.2">
      <c r="A21" s="9" t="s">
        <v>109</v>
      </c>
      <c r="B21" s="15">
        <v>51746</v>
      </c>
      <c r="C21" s="15">
        <v>8793</v>
      </c>
      <c r="D21" s="15">
        <v>40512</v>
      </c>
      <c r="E21" s="15">
        <v>49305</v>
      </c>
      <c r="F21" s="15">
        <v>34155</v>
      </c>
      <c r="G21" s="16">
        <f>IF(AND(F65&lt;&gt;0,34155&lt;&gt;0),IF(100*34155/(F65-0)&lt;0.005,"*",100*34155/(F65-0)),0)</f>
        <v>1.070848100408587</v>
      </c>
    </row>
    <row r="22" spans="1:7" x14ac:dyDescent="0.2">
      <c r="A22" s="9" t="s">
        <v>110</v>
      </c>
      <c r="B22" s="15">
        <v>32137</v>
      </c>
      <c r="C22" s="15">
        <v>9586</v>
      </c>
      <c r="D22" s="15">
        <v>35193</v>
      </c>
      <c r="E22" s="15">
        <v>44779</v>
      </c>
      <c r="F22" s="15">
        <v>37337</v>
      </c>
      <c r="G22" s="16">
        <f>IF(AND(F65&lt;&gt;0,37337&lt;&gt;0),IF(100*37337/(F65-0)&lt;0.005,"*",100*37337/(F65-0)),0)</f>
        <v>1.170612078025338</v>
      </c>
    </row>
    <row r="23" spans="1:7" x14ac:dyDescent="0.2">
      <c r="A23" s="9" t="s">
        <v>111</v>
      </c>
      <c r="B23" s="15">
        <v>58176</v>
      </c>
      <c r="C23" s="15">
        <v>11008</v>
      </c>
      <c r="D23" s="15">
        <v>41903</v>
      </c>
      <c r="E23" s="15">
        <v>52911</v>
      </c>
      <c r="F23" s="15">
        <v>43043</v>
      </c>
      <c r="G23" s="16">
        <f>IF(AND(F65&lt;&gt;0,43043&lt;&gt;0),IF(100*43043/(F65-0)&lt;0.005,"*",100*43043/(F65-0)),0)</f>
        <v>1.3495100215455076</v>
      </c>
    </row>
    <row r="24" spans="1:7" x14ac:dyDescent="0.2">
      <c r="A24" s="9" t="s">
        <v>112</v>
      </c>
      <c r="B24" s="15">
        <v>75595</v>
      </c>
      <c r="C24" s="15">
        <v>17195</v>
      </c>
      <c r="D24" s="15">
        <v>71650</v>
      </c>
      <c r="E24" s="15">
        <v>88845</v>
      </c>
      <c r="F24" s="15">
        <v>67866</v>
      </c>
      <c r="G24" s="16">
        <f>IF(AND(F65&lt;&gt;0,67866&lt;&gt;0),IF(100*67866/(F65-0)&lt;0.005,"*",100*67866/(F65-0)),0)</f>
        <v>2.1277756458008832</v>
      </c>
    </row>
    <row r="25" spans="1:7" x14ac:dyDescent="0.2">
      <c r="A25" s="9" t="s">
        <v>113</v>
      </c>
      <c r="B25" s="15">
        <v>32077</v>
      </c>
      <c r="C25" s="15">
        <v>5773</v>
      </c>
      <c r="D25" s="15">
        <v>24457</v>
      </c>
      <c r="E25" s="15">
        <v>30230</v>
      </c>
      <c r="F25" s="15">
        <v>22036</v>
      </c>
      <c r="G25" s="16">
        <f>IF(AND(F65&lt;&gt;0,22036&lt;&gt;0),IF(100*22036/(F65-0)&lt;0.005,"*",100*22036/(F65-0)),0)</f>
        <v>0.69088592418690165</v>
      </c>
    </row>
    <row r="26" spans="1:7" x14ac:dyDescent="0.2">
      <c r="A26" s="9" t="s">
        <v>114</v>
      </c>
      <c r="B26" s="15">
        <v>32346</v>
      </c>
      <c r="C26" s="15">
        <v>7659</v>
      </c>
      <c r="D26" s="15">
        <v>27435</v>
      </c>
      <c r="E26" s="15">
        <v>35094</v>
      </c>
      <c r="F26" s="15">
        <v>29602</v>
      </c>
      <c r="G26" s="16">
        <f>IF(AND(F65&lt;&gt;0,29602&lt;&gt;0),IF(100*29602/(F65-0)&lt;0.005,"*",100*29602/(F65-0)),0)</f>
        <v>0.92809970628883021</v>
      </c>
    </row>
    <row r="27" spans="1:7" x14ac:dyDescent="0.2">
      <c r="A27" s="9" t="s">
        <v>115</v>
      </c>
      <c r="B27" s="15">
        <v>45025</v>
      </c>
      <c r="C27" s="15">
        <v>10120</v>
      </c>
      <c r="D27" s="15">
        <v>44693</v>
      </c>
      <c r="E27" s="15">
        <v>54813</v>
      </c>
      <c r="F27" s="15">
        <v>39479</v>
      </c>
      <c r="G27" s="16">
        <f>IF(AND(F65&lt;&gt;0,39479&lt;&gt;0),IF(100*39479/(F65-0)&lt;0.005,"*",100*39479/(F65-0)),0)</f>
        <v>1.2377693501985247</v>
      </c>
    </row>
    <row r="28" spans="1:7" x14ac:dyDescent="0.2">
      <c r="A28" s="9" t="s">
        <v>116</v>
      </c>
      <c r="B28" s="15">
        <v>81419</v>
      </c>
      <c r="C28" s="15">
        <v>16996</v>
      </c>
      <c r="D28" s="15">
        <v>66559</v>
      </c>
      <c r="E28" s="15">
        <v>83555</v>
      </c>
      <c r="F28" s="15">
        <v>67068</v>
      </c>
      <c r="G28" s="16">
        <f>IF(AND(F65&lt;&gt;0,67068&lt;&gt;0),IF(100*67068/(F65-0)&lt;0.005,"*",100*67068/(F65-0)),0)</f>
        <v>2.1027562698932254</v>
      </c>
    </row>
    <row r="29" spans="1:7" x14ac:dyDescent="0.2">
      <c r="A29" s="9" t="s">
        <v>117</v>
      </c>
      <c r="B29" s="15">
        <v>61645</v>
      </c>
      <c r="C29" s="15">
        <v>11905</v>
      </c>
      <c r="D29" s="15">
        <v>51187</v>
      </c>
      <c r="E29" s="15">
        <v>63092</v>
      </c>
      <c r="F29" s="15">
        <v>46640</v>
      </c>
      <c r="G29" s="16">
        <f>IF(AND(F65&lt;&gt;0,46640&lt;&gt;0),IF(100*46640/(F65-0)&lt;0.005,"*",100*46640/(F65-0)),0)</f>
        <v>1.462285328738296</v>
      </c>
    </row>
    <row r="30" spans="1:7" x14ac:dyDescent="0.2">
      <c r="A30" s="9" t="s">
        <v>118</v>
      </c>
      <c r="B30" s="15">
        <v>35904</v>
      </c>
      <c r="C30" s="15">
        <v>9481</v>
      </c>
      <c r="D30" s="15">
        <v>34800</v>
      </c>
      <c r="E30" s="15">
        <v>44281</v>
      </c>
      <c r="F30" s="15">
        <v>36913</v>
      </c>
      <c r="G30" s="16">
        <f>IF(AND(F65&lt;&gt;0,36913&lt;&gt;0),IF(100*36913/(F65-0)&lt;0.005,"*",100*36913/(F65-0)),0)</f>
        <v>1.157318575036808</v>
      </c>
    </row>
    <row r="31" spans="1:7" x14ac:dyDescent="0.2">
      <c r="A31" s="9" t="s">
        <v>119</v>
      </c>
      <c r="B31" s="15">
        <v>55863</v>
      </c>
      <c r="C31" s="15">
        <v>15573</v>
      </c>
      <c r="D31" s="15">
        <v>63282</v>
      </c>
      <c r="E31" s="15">
        <v>78855</v>
      </c>
      <c r="F31" s="15">
        <v>61359</v>
      </c>
      <c r="G31" s="16">
        <f>IF(AND(F65&lt;&gt;0,61359&lt;&gt;0),IF(100*61359/(F65-0)&lt;0.005,"*",100*61359/(F65-0)),0)</f>
        <v>1.9237642685688916</v>
      </c>
    </row>
    <row r="32" spans="1:7" x14ac:dyDescent="0.2">
      <c r="A32" s="9" t="s">
        <v>120</v>
      </c>
      <c r="B32" s="15">
        <v>42552</v>
      </c>
      <c r="C32" s="15">
        <v>10104</v>
      </c>
      <c r="D32" s="15">
        <v>41885</v>
      </c>
      <c r="E32" s="15">
        <v>51989</v>
      </c>
      <c r="F32" s="15">
        <v>39414</v>
      </c>
      <c r="G32" s="16">
        <f>IF(AND(F65&lt;&gt;0,39414&lt;&gt;0),IF(100*39414/(F65-0)&lt;0.005,"*",100*39414/(F65-0)),0)</f>
        <v>1.2357314311083019</v>
      </c>
    </row>
    <row r="33" spans="1:7" x14ac:dyDescent="0.2">
      <c r="A33" s="9" t="s">
        <v>121</v>
      </c>
      <c r="B33" s="15">
        <v>27239</v>
      </c>
      <c r="C33" s="15">
        <v>9520</v>
      </c>
      <c r="D33" s="15">
        <v>27258</v>
      </c>
      <c r="E33" s="15">
        <v>36778</v>
      </c>
      <c r="F33" s="15">
        <v>37071</v>
      </c>
      <c r="G33" s="16">
        <f>IF(AND(F65&lt;&gt;0,37071&lt;&gt;0),IF(100*37071/(F65-0)&lt;0.005,"*",100*37071/(F65-0)),0)</f>
        <v>1.1622722860561185</v>
      </c>
    </row>
    <row r="34" spans="1:7" x14ac:dyDescent="0.2">
      <c r="A34" s="9" t="s">
        <v>122</v>
      </c>
      <c r="B34" s="15">
        <v>27482</v>
      </c>
      <c r="C34" s="15">
        <v>11273</v>
      </c>
      <c r="D34" s="15">
        <v>39258</v>
      </c>
      <c r="E34" s="15">
        <v>50531</v>
      </c>
      <c r="F34" s="15">
        <v>44105</v>
      </c>
      <c r="G34" s="16">
        <f>IF(AND(F65&lt;&gt;0,44105&lt;&gt;0),IF(100*44105/(F65-0)&lt;0.005,"*",100*44105/(F65-0)),0)</f>
        <v>1.3828064842196086</v>
      </c>
    </row>
    <row r="35" spans="1:7" x14ac:dyDescent="0.2">
      <c r="A35" s="9" t="s">
        <v>123</v>
      </c>
      <c r="B35" s="15">
        <v>19202</v>
      </c>
      <c r="C35" s="15">
        <v>2923</v>
      </c>
      <c r="D35" s="15">
        <v>14036</v>
      </c>
      <c r="E35" s="15">
        <v>16959</v>
      </c>
      <c r="F35" s="15">
        <v>10599</v>
      </c>
      <c r="G35" s="16">
        <f>IF(AND(F65&lt;&gt;0,10599&lt;&gt;0),IF(100*10599/(F65-0)&lt;0.005,"*",100*10599/(F65-0)),0)</f>
        <v>0.33230622211186106</v>
      </c>
    </row>
    <row r="36" spans="1:7" x14ac:dyDescent="0.2">
      <c r="A36" s="9" t="s">
        <v>124</v>
      </c>
      <c r="B36" s="15">
        <v>13094</v>
      </c>
      <c r="C36" s="15">
        <v>6115</v>
      </c>
      <c r="D36" s="15">
        <v>21309</v>
      </c>
      <c r="E36" s="15">
        <v>27424</v>
      </c>
      <c r="F36" s="15">
        <v>23409</v>
      </c>
      <c r="G36" s="16">
        <f>IF(AND(F65&lt;&gt;0,23409&lt;&gt;0),IF(100*23409/(F65-0)&lt;0.005,"*",100*23409/(F65-0)),0)</f>
        <v>0.73393304589268382</v>
      </c>
    </row>
    <row r="37" spans="1:7" x14ac:dyDescent="0.2">
      <c r="A37" s="9" t="s">
        <v>125</v>
      </c>
      <c r="B37" s="15">
        <v>26401</v>
      </c>
      <c r="C37" s="15">
        <v>8457</v>
      </c>
      <c r="D37" s="15">
        <v>31303</v>
      </c>
      <c r="E37" s="15">
        <v>39760</v>
      </c>
      <c r="F37" s="15">
        <v>32806</v>
      </c>
      <c r="G37" s="16">
        <f>IF(AND(F65&lt;&gt;0,32806&lt;&gt;0),IF(100*32806/(F65-0)&lt;0.005,"*",100*32806/(F65-0)),0)</f>
        <v>1.0285534411361179</v>
      </c>
    </row>
    <row r="38" spans="1:7" x14ac:dyDescent="0.2">
      <c r="A38" s="9" t="s">
        <v>126</v>
      </c>
      <c r="B38" s="15">
        <v>89485</v>
      </c>
      <c r="C38" s="15">
        <v>27211</v>
      </c>
      <c r="D38" s="15">
        <v>105719</v>
      </c>
      <c r="E38" s="15">
        <v>132930</v>
      </c>
      <c r="F38" s="15">
        <v>108057</v>
      </c>
      <c r="G38" s="16">
        <f>IF(AND(F65&lt;&gt;0,108057&lt;&gt;0),IF(100*108057/(F65-0)&lt;0.005,"*",100*108057/(F65-0)),0)</f>
        <v>3.3878680481876944</v>
      </c>
    </row>
    <row r="39" spans="1:7" x14ac:dyDescent="0.2">
      <c r="A39" s="9" t="s">
        <v>127</v>
      </c>
      <c r="B39" s="15">
        <v>80160</v>
      </c>
      <c r="C39" s="15">
        <v>20760</v>
      </c>
      <c r="D39" s="15">
        <v>82802</v>
      </c>
      <c r="E39" s="15">
        <v>103562</v>
      </c>
      <c r="F39" s="15">
        <v>82174</v>
      </c>
      <c r="G39" s="16">
        <f>IF(AND(F65&lt;&gt;0,82174&lt;&gt;0),IF(100*82174/(F65-0)&lt;0.005,"*",100*82174/(F65-0)),0)</f>
        <v>2.5763686664609935</v>
      </c>
    </row>
    <row r="40" spans="1:7" x14ac:dyDescent="0.2">
      <c r="A40" s="9" t="s">
        <v>128</v>
      </c>
      <c r="B40" s="15">
        <v>57721</v>
      </c>
      <c r="C40" s="15">
        <v>15714</v>
      </c>
      <c r="D40" s="15">
        <v>63215</v>
      </c>
      <c r="E40" s="15">
        <v>78929</v>
      </c>
      <c r="F40" s="15">
        <v>61926</v>
      </c>
      <c r="G40" s="16">
        <f>IF(AND(F65&lt;&gt;0,61926&lt;&gt;0),IF(100*61926/(F65-0)&lt;0.005,"*",100*61926/(F65-0)),0)</f>
        <v>1.9415411935559117</v>
      </c>
    </row>
    <row r="41" spans="1:7" x14ac:dyDescent="0.2">
      <c r="A41" s="9" t="s">
        <v>129</v>
      </c>
      <c r="B41" s="15">
        <v>44581</v>
      </c>
      <c r="C41" s="15">
        <v>18976</v>
      </c>
      <c r="D41" s="15">
        <v>72639</v>
      </c>
      <c r="E41" s="15">
        <v>91615</v>
      </c>
      <c r="F41" s="15">
        <v>75014</v>
      </c>
      <c r="G41" s="16">
        <f>IF(AND(F65&lt;&gt;0,75014&lt;&gt;0),IF(100*75014/(F65-0)&lt;0.005,"*",100*75014/(F65-0)),0)</f>
        <v>2.3518840405226102</v>
      </c>
    </row>
    <row r="42" spans="1:7" x14ac:dyDescent="0.2">
      <c r="A42" s="9" t="s">
        <v>130</v>
      </c>
      <c r="B42" s="15">
        <v>42682</v>
      </c>
      <c r="C42" s="15">
        <v>9647</v>
      </c>
      <c r="D42" s="15">
        <v>36763</v>
      </c>
      <c r="E42" s="15">
        <v>46410</v>
      </c>
      <c r="F42" s="15">
        <v>37579</v>
      </c>
      <c r="G42" s="16">
        <f>IF(AND(F65&lt;&gt;0,37579&lt;&gt;0),IF(100*37579/(F65-0)&lt;0.005,"*",100*37579/(F65-0)),0)</f>
        <v>1.1781994075612441</v>
      </c>
    </row>
    <row r="43" spans="1:7" x14ac:dyDescent="0.2">
      <c r="A43" s="9" t="s">
        <v>131</v>
      </c>
      <c r="B43" s="15">
        <v>54610</v>
      </c>
      <c r="C43" s="15">
        <v>12908</v>
      </c>
      <c r="D43" s="15">
        <v>53531</v>
      </c>
      <c r="E43" s="15">
        <v>66439</v>
      </c>
      <c r="F43" s="15">
        <v>50664</v>
      </c>
      <c r="G43" s="16">
        <f>IF(AND(F65&lt;&gt;0,50664&lt;&gt;0),IF(100*50664/(F65-0)&lt;0.005,"*",100*50664/(F65-0)),0)</f>
        <v>1.5884481967237785</v>
      </c>
    </row>
    <row r="44" spans="1:7" x14ac:dyDescent="0.2">
      <c r="A44" s="9" t="s">
        <v>132</v>
      </c>
      <c r="B44" s="15">
        <v>72252</v>
      </c>
      <c r="C44" s="15">
        <v>18085</v>
      </c>
      <c r="D44" s="15">
        <v>68249</v>
      </c>
      <c r="E44" s="15">
        <v>86334</v>
      </c>
      <c r="F44" s="15">
        <v>71439</v>
      </c>
      <c r="G44" s="16">
        <f>IF(AND(F65&lt;&gt;0,71439&lt;&gt;0),IF(100*71439/(F65-0)&lt;0.005,"*",100*71439/(F65-0)),0)</f>
        <v>2.239798490560359</v>
      </c>
    </row>
    <row r="45" spans="1:7" x14ac:dyDescent="0.2">
      <c r="A45" s="9" t="s">
        <v>133</v>
      </c>
      <c r="B45" s="15">
        <v>1887</v>
      </c>
      <c r="C45" s="15">
        <v>7018</v>
      </c>
      <c r="D45" s="15">
        <v>17194</v>
      </c>
      <c r="E45" s="15">
        <v>24212</v>
      </c>
      <c r="F45" s="15">
        <v>27033</v>
      </c>
      <c r="G45" s="16">
        <f>IF(AND(F65&lt;&gt;0,27033&lt;&gt;0),IF(100*27033/(F65-0)&lt;0.005,"*",100*27033/(F65-0)),0)</f>
        <v>0.84755487332294932</v>
      </c>
    </row>
    <row r="46" spans="1:7" x14ac:dyDescent="0.2">
      <c r="A46" s="9" t="s">
        <v>134</v>
      </c>
      <c r="B46" s="15">
        <v>66330</v>
      </c>
      <c r="C46" s="15">
        <v>16268</v>
      </c>
      <c r="D46" s="15">
        <v>64973</v>
      </c>
      <c r="E46" s="15">
        <v>81241</v>
      </c>
      <c r="F46" s="15">
        <v>64147</v>
      </c>
      <c r="G46" s="16">
        <f>IF(AND(F65&lt;&gt;0,64147&lt;&gt;0),IF(100*64147/(F65-0)&lt;0.005,"*",100*64147/(F65-0)),0)</f>
        <v>2.011175321238754</v>
      </c>
    </row>
    <row r="47" spans="1:7" x14ac:dyDescent="0.2">
      <c r="A47" s="9" t="s">
        <v>135</v>
      </c>
      <c r="B47" s="15">
        <v>20618</v>
      </c>
      <c r="C47" s="15">
        <v>6773</v>
      </c>
      <c r="D47" s="15">
        <v>26195</v>
      </c>
      <c r="E47" s="15">
        <v>32968</v>
      </c>
      <c r="F47" s="15">
        <v>26050</v>
      </c>
      <c r="G47" s="16">
        <f>IF(AND(F65&lt;&gt;0,26050&lt;&gt;0),IF(100*26050/(F65-0)&lt;0.005,"*",100*26050/(F65-0)),0)</f>
        <v>0.81673526615850367</v>
      </c>
    </row>
    <row r="48" spans="1:7" x14ac:dyDescent="0.2">
      <c r="A48" s="9" t="s">
        <v>136</v>
      </c>
      <c r="B48" s="15">
        <v>95506</v>
      </c>
      <c r="C48" s="15">
        <v>16694</v>
      </c>
      <c r="D48" s="15">
        <v>69798</v>
      </c>
      <c r="E48" s="15">
        <v>86492</v>
      </c>
      <c r="F48" s="15">
        <v>65857</v>
      </c>
      <c r="G48" s="16">
        <f>IF(AND(F65&lt;&gt;0,65857&lt;&gt;0),IF(100*65857/(F65-0)&lt;0.005,"*",100*65857/(F65-0)),0)</f>
        <v>2.0647882696123063</v>
      </c>
    </row>
    <row r="49" spans="1:7" x14ac:dyDescent="0.2">
      <c r="A49" s="9" t="s">
        <v>137</v>
      </c>
      <c r="B49" s="15">
        <v>224608</v>
      </c>
      <c r="C49" s="15">
        <v>62670</v>
      </c>
      <c r="D49" s="15">
        <v>242201</v>
      </c>
      <c r="E49" s="15">
        <v>304871</v>
      </c>
      <c r="F49" s="15">
        <v>250342</v>
      </c>
      <c r="G49" s="16">
        <f>IF(AND(F65&lt;&gt;0,250342&lt;&gt;0),IF(100*250342/(F65-0)&lt;0.005,"*",100*250342/(F65-0)),0)</f>
        <v>7.8488729366853027</v>
      </c>
    </row>
    <row r="50" spans="1:7" x14ac:dyDescent="0.2">
      <c r="A50" s="9" t="s">
        <v>138</v>
      </c>
      <c r="B50" s="15">
        <v>51185</v>
      </c>
      <c r="C50" s="15">
        <v>11910</v>
      </c>
      <c r="D50" s="15">
        <v>47015</v>
      </c>
      <c r="E50" s="15">
        <v>58925</v>
      </c>
      <c r="F50" s="15">
        <v>46660</v>
      </c>
      <c r="G50" s="16">
        <f>IF(AND(F65&lt;&gt;0,46660&lt;&gt;0),IF(100*46660/(F65-0)&lt;0.005,"*",100*46660/(F65-0)),0)</f>
        <v>1.4629123807660569</v>
      </c>
    </row>
    <row r="51" spans="1:7" x14ac:dyDescent="0.2">
      <c r="A51" s="9" t="s">
        <v>139</v>
      </c>
      <c r="B51" s="15">
        <v>11127</v>
      </c>
      <c r="C51" s="15">
        <v>5686</v>
      </c>
      <c r="D51" s="15">
        <v>18781</v>
      </c>
      <c r="E51" s="15">
        <v>24467</v>
      </c>
      <c r="F51" s="15">
        <v>21687</v>
      </c>
      <c r="G51" s="16">
        <f>IF(AND(F65&lt;&gt;0,21687&lt;&gt;0),IF(100*21687/(F65-0)&lt;0.005,"*",100*21687/(F65-0)),0)</f>
        <v>0.67994386630247483</v>
      </c>
    </row>
    <row r="52" spans="1:7" x14ac:dyDescent="0.2">
      <c r="A52" s="9" t="s">
        <v>140</v>
      </c>
      <c r="B52" s="15">
        <v>62447</v>
      </c>
      <c r="C52" s="15">
        <v>17763</v>
      </c>
      <c r="D52" s="15">
        <v>64408</v>
      </c>
      <c r="E52" s="15">
        <v>82171</v>
      </c>
      <c r="F52" s="15">
        <v>70148</v>
      </c>
      <c r="G52" s="16">
        <f>IF(AND(F65&lt;&gt;0,70148&lt;&gt;0),IF(100*70148/(F65-0)&lt;0.005,"*",100*70148/(F65-0)),0)</f>
        <v>2.1993222821683962</v>
      </c>
    </row>
    <row r="53" spans="1:7" x14ac:dyDescent="0.2">
      <c r="A53" s="9" t="s">
        <v>141</v>
      </c>
      <c r="B53" s="15">
        <v>92426</v>
      </c>
      <c r="C53" s="15">
        <v>18793</v>
      </c>
      <c r="D53" s="15">
        <v>76536</v>
      </c>
      <c r="E53" s="15">
        <v>95329</v>
      </c>
      <c r="F53" s="15">
        <v>74280</v>
      </c>
      <c r="G53" s="16">
        <f>IF(AND(F65&lt;&gt;0,74280&lt;&gt;0),IF(100*74280/(F65-0)&lt;0.005,"*",100*74280/(F65-0)),0)</f>
        <v>2.3288712311037871</v>
      </c>
    </row>
    <row r="54" spans="1:7" x14ac:dyDescent="0.2">
      <c r="A54" s="9" t="s">
        <v>142</v>
      </c>
      <c r="B54" s="15">
        <v>27795</v>
      </c>
      <c r="C54" s="15">
        <v>5194</v>
      </c>
      <c r="D54" s="15">
        <v>21230</v>
      </c>
      <c r="E54" s="15">
        <v>26424</v>
      </c>
      <c r="F54" s="15">
        <v>19711</v>
      </c>
      <c r="G54" s="16">
        <f>IF(AND(F65&lt;&gt;0,19711&lt;&gt;0),IF(100*19711/(F65-0)&lt;0.005,"*",100*19711/(F65-0)),0)</f>
        <v>0.61799112595970318</v>
      </c>
    </row>
    <row r="55" spans="1:7" x14ac:dyDescent="0.2">
      <c r="A55" s="9" t="s">
        <v>143</v>
      </c>
      <c r="B55" s="15">
        <v>54082</v>
      </c>
      <c r="C55" s="15">
        <v>12965</v>
      </c>
      <c r="D55" s="15">
        <v>47915</v>
      </c>
      <c r="E55" s="15">
        <v>60880</v>
      </c>
      <c r="F55" s="15">
        <v>50896</v>
      </c>
      <c r="G55" s="16">
        <f>IF(AND(F65&lt;&gt;0,50896&lt;&gt;0),IF(100*50896/(F65-0)&lt;0.005,"*",100*50896/(F65-0)),0)</f>
        <v>1.5957220002458044</v>
      </c>
    </row>
    <row r="56" spans="1:7" x14ac:dyDescent="0.2">
      <c r="A56" s="9" t="s">
        <v>144</v>
      </c>
      <c r="B56" s="15">
        <v>22134</v>
      </c>
      <c r="C56" s="15">
        <v>7958</v>
      </c>
      <c r="D56" s="15">
        <v>28761</v>
      </c>
      <c r="E56" s="15">
        <v>36719</v>
      </c>
      <c r="F56" s="15">
        <v>30803</v>
      </c>
      <c r="G56" s="16">
        <f>IF(AND(F65&lt;&gt;0,30803&lt;&gt;0),IF(100*30803/(F65-0)&lt;0.005,"*",100*30803/(F65-0)),0)</f>
        <v>0.96575418055586904</v>
      </c>
    </row>
    <row r="57" spans="1:7" x14ac:dyDescent="0.2">
      <c r="A57" s="9" t="s">
        <v>145</v>
      </c>
      <c r="B57" s="15">
        <v>24804</v>
      </c>
      <c r="C57" s="15">
        <v>0</v>
      </c>
      <c r="D57" s="15">
        <v>15422</v>
      </c>
      <c r="E57" s="15">
        <v>15422</v>
      </c>
      <c r="F57" s="15">
        <v>11114</v>
      </c>
      <c r="G57" s="16">
        <f>IF(AND(F65&lt;&gt;0,11114&lt;&gt;0),IF(100*11114/(F65-0)&lt;0.005,"*",100*11114/(F65-0)),0)</f>
        <v>0.3484528118267029</v>
      </c>
    </row>
    <row r="58" spans="1:7" x14ac:dyDescent="0.2">
      <c r="A58" s="9" t="s">
        <v>146</v>
      </c>
      <c r="B58" s="15">
        <v>20518</v>
      </c>
      <c r="C58" s="15">
        <v>0</v>
      </c>
      <c r="D58" s="15">
        <v>10515</v>
      </c>
      <c r="E58" s="15">
        <v>10515</v>
      </c>
      <c r="F58" s="15">
        <v>6717</v>
      </c>
      <c r="G58" s="16">
        <f>IF(AND(F65&lt;&gt;0,6717&lt;&gt;0),IF(100*6717/(F65-0)&lt;0.005,"*",100*6717/(F65-0)),0)</f>
        <v>0.2105954235234806</v>
      </c>
    </row>
    <row r="59" spans="1:7" x14ac:dyDescent="0.2">
      <c r="A59" s="9" t="s">
        <v>147</v>
      </c>
      <c r="B59" s="15">
        <v>8662</v>
      </c>
      <c r="C59" s="15">
        <v>0</v>
      </c>
      <c r="D59" s="15">
        <v>7334</v>
      </c>
      <c r="E59" s="15">
        <v>7334</v>
      </c>
      <c r="F59" s="15">
        <v>6581</v>
      </c>
      <c r="G59" s="16">
        <f>IF(AND(F65&lt;&gt;0,6581&lt;&gt;0),IF(100*6581/(F65-0)&lt;0.005,"*",100*6581/(F65-0)),0)</f>
        <v>0.20633146973470684</v>
      </c>
    </row>
    <row r="60" spans="1:7" x14ac:dyDescent="0.2">
      <c r="A60" s="9" t="s">
        <v>148</v>
      </c>
      <c r="B60" s="15">
        <v>17491</v>
      </c>
      <c r="C60" s="15">
        <v>0</v>
      </c>
      <c r="D60" s="15">
        <v>8989</v>
      </c>
      <c r="E60" s="15">
        <v>8989</v>
      </c>
      <c r="F60" s="15">
        <v>10855</v>
      </c>
      <c r="G60" s="16">
        <f>IF(AND(F65&lt;&gt;0,10855&lt;&gt;0),IF(100*10855/(F65-0)&lt;0.005,"*",100*10855/(F65-0)),0)</f>
        <v>0.3403324880671999</v>
      </c>
    </row>
    <row r="61" spans="1:7" x14ac:dyDescent="0.2">
      <c r="A61" s="9" t="s">
        <v>149</v>
      </c>
      <c r="B61" s="15">
        <v>673</v>
      </c>
      <c r="C61" s="15">
        <v>0</v>
      </c>
      <c r="D61" s="15">
        <v>9129</v>
      </c>
      <c r="E61" s="15">
        <v>9129</v>
      </c>
      <c r="F61" s="15">
        <v>15437</v>
      </c>
      <c r="G61" s="16">
        <f>IF(AND(F65&lt;&gt;0,15437&lt;&gt;0),IF(100*15437/(F65-0)&lt;0.005,"*",100*15437/(F65-0)),0)</f>
        <v>0.48399010762721006</v>
      </c>
    </row>
    <row r="62" spans="1:7" x14ac:dyDescent="0.2">
      <c r="A62" s="9" t="s">
        <v>150</v>
      </c>
      <c r="B62" s="15">
        <v>8242</v>
      </c>
      <c r="C62" s="15">
        <v>0</v>
      </c>
      <c r="D62" s="15">
        <v>6956</v>
      </c>
      <c r="E62" s="15">
        <v>6956</v>
      </c>
      <c r="F62" s="15">
        <v>6966</v>
      </c>
      <c r="G62" s="16">
        <f>IF(AND(F65&lt;&gt;0,6966&lt;&gt;0),IF(100*6966/(F65-0)&lt;0.005,"*",100*6966/(F65-0)),0)</f>
        <v>0.21840222126910314</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0</v>
      </c>
      <c r="C64" s="15">
        <v>0</v>
      </c>
      <c r="D64" s="15">
        <v>0</v>
      </c>
      <c r="E64" s="15">
        <v>0</v>
      </c>
      <c r="F64" s="15">
        <v>0</v>
      </c>
      <c r="G64" s="16">
        <v>0</v>
      </c>
    </row>
    <row r="65" spans="1:7" ht="15" customHeight="1" x14ac:dyDescent="0.2">
      <c r="A65" s="17" t="s">
        <v>93</v>
      </c>
      <c r="B65" s="18">
        <f>49905+233235+61054+38312+254658+81565+17517+11507+250+203535+80203+28968+23070+165193+55964+51746+32137+58176+75595+32077+32346+45025+81419+61645+35904+55863+42552+27239+27482+19202+13094+26401+89485+80160+57721+44581+42682+54610+72252+1887+66330+20618+95506+224608+51185+11127+62447+92426+27795+54082+22134+24804+20518+8662+17491+673+8242+0+0+0</f>
        <v>3274865</v>
      </c>
      <c r="C65" s="18">
        <f>12940+51443+16379+8238+66164+17613+5873+2345+342+41293+18899+6594+7782+37697+15778+8793+9586+11008+17195+5773+7659+10120+16996+11905+9481+15573+10104+9520+11273+2923+6115+8457+27211+20760+15714+18976+9647+12908+18085+7018+16268+6773+16694+62670+11910+5686+17763+18793+5194+12965+7958+0+0+0+0+0+0+0+0+0</f>
        <v>794854</v>
      </c>
      <c r="D65" s="18">
        <f>49109+211680+69258+34343+256210+68741+18141+8851+237+177993+77663+24222+26311+152398+61783+40512+35193+41903+71650+24457+27435+44693+66559+51187+34800+63282+41885+27258+39258+14036+21309+31303+105719+82802+63215+72639+36763+53531+68249+17194+64973+26195+69798+242201+47015+18781+64408+76536+21230+47915+28761+15422+10515+7334+8989+9129+6956+0+0+0</f>
        <v>3179930</v>
      </c>
      <c r="E65" s="18">
        <f>SUM(C65:D65)</f>
        <v>3974784</v>
      </c>
      <c r="F65" s="18">
        <f>50795+205291+64592+31927+264362+69545+22436+8281+244+164563+74707+25332+30098+150136+62180+34155+37337+43043+67866+22036+29602+39479+67068+46640+36913+61359+39414+37071+44105+10599+23409+32806+108057+82174+61926+75014+37579+50664+71439+27033+64147+26050+65857+250342+46660+21687+70148+74280+19711+50896+30803+11114+6717+6581+10855+15437+6966+0+0+0</f>
        <v>3189528</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heetViews>
  <sheetFormatPr defaultRowHeight="12.75" x14ac:dyDescent="0.2"/>
  <cols>
    <col min="1" max="1" width="30.7109375" customWidth="1"/>
    <col min="2" max="7" width="11.7109375" customWidth="1"/>
  </cols>
  <sheetData>
    <row r="1" spans="1:7" ht="38.25" customHeight="1" x14ac:dyDescent="0.2">
      <c r="A1" s="10" t="s">
        <v>312</v>
      </c>
      <c r="B1" s="8"/>
      <c r="C1" s="8"/>
      <c r="D1" s="8"/>
      <c r="E1" s="8"/>
      <c r="F1" s="8"/>
      <c r="G1" s="10" t="s">
        <v>313</v>
      </c>
    </row>
    <row r="2" spans="1:7" x14ac:dyDescent="0.2">
      <c r="A2" s="11" t="s">
        <v>314</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896484</v>
      </c>
      <c r="C6" s="15">
        <v>8098</v>
      </c>
      <c r="D6" s="15">
        <v>739657</v>
      </c>
      <c r="E6" s="15">
        <v>747755</v>
      </c>
      <c r="F6" s="15">
        <v>779336</v>
      </c>
      <c r="G6" s="16">
        <v>1.8840228966501502</v>
      </c>
    </row>
    <row r="7" spans="1:7" x14ac:dyDescent="0.2">
      <c r="A7" s="9" t="s">
        <v>95</v>
      </c>
      <c r="B7" s="15">
        <v>548878</v>
      </c>
      <c r="C7" s="15">
        <v>43722</v>
      </c>
      <c r="D7" s="15">
        <v>488831</v>
      </c>
      <c r="E7" s="15">
        <v>532553</v>
      </c>
      <c r="F7" s="15">
        <v>521441</v>
      </c>
      <c r="G7" s="16">
        <v>1.2605689757077192</v>
      </c>
    </row>
    <row r="8" spans="1:7" x14ac:dyDescent="0.2">
      <c r="A8" s="9" t="s">
        <v>96</v>
      </c>
      <c r="B8" s="15">
        <v>732343</v>
      </c>
      <c r="C8" s="15">
        <v>52834</v>
      </c>
      <c r="D8" s="15">
        <v>713289</v>
      </c>
      <c r="E8" s="15">
        <v>766123</v>
      </c>
      <c r="F8" s="15">
        <v>751526</v>
      </c>
      <c r="G8" s="16">
        <v>1.816793002540497</v>
      </c>
    </row>
    <row r="9" spans="1:7" x14ac:dyDescent="0.2">
      <c r="A9" s="9" t="s">
        <v>97</v>
      </c>
      <c r="B9" s="15">
        <v>555817</v>
      </c>
      <c r="C9" s="15">
        <v>26041</v>
      </c>
      <c r="D9" s="15">
        <v>504758</v>
      </c>
      <c r="E9" s="15">
        <v>530799</v>
      </c>
      <c r="F9" s="15">
        <v>531833</v>
      </c>
      <c r="G9" s="16">
        <v>1.28569134390576</v>
      </c>
    </row>
    <row r="10" spans="1:7" x14ac:dyDescent="0.2">
      <c r="A10" s="9" t="s">
        <v>98</v>
      </c>
      <c r="B10" s="15">
        <v>4052152</v>
      </c>
      <c r="C10" s="15">
        <v>297846</v>
      </c>
      <c r="D10" s="15">
        <v>3544252</v>
      </c>
      <c r="E10" s="15">
        <v>3842098</v>
      </c>
      <c r="F10" s="15">
        <v>4391295</v>
      </c>
      <c r="G10" s="16">
        <v>10.615832357218608</v>
      </c>
    </row>
    <row r="11" spans="1:7" x14ac:dyDescent="0.2">
      <c r="A11" s="9" t="s">
        <v>99</v>
      </c>
      <c r="B11" s="15">
        <v>730076</v>
      </c>
      <c r="C11" s="15">
        <v>22791</v>
      </c>
      <c r="D11" s="15">
        <v>520865</v>
      </c>
      <c r="E11" s="15">
        <v>543656</v>
      </c>
      <c r="F11" s="15">
        <v>549246</v>
      </c>
      <c r="G11" s="16">
        <v>1.3277867824577698</v>
      </c>
    </row>
    <row r="12" spans="1:7" x14ac:dyDescent="0.2">
      <c r="A12" s="9" t="s">
        <v>100</v>
      </c>
      <c r="B12" s="15">
        <v>535412</v>
      </c>
      <c r="C12" s="15">
        <v>23664</v>
      </c>
      <c r="D12" s="15">
        <v>484796</v>
      </c>
      <c r="E12" s="15">
        <v>508460</v>
      </c>
      <c r="F12" s="15">
        <v>515886</v>
      </c>
      <c r="G12" s="16">
        <v>1.2471399191892321</v>
      </c>
    </row>
    <row r="13" spans="1:7" x14ac:dyDescent="0.2">
      <c r="A13" s="9" t="s">
        <v>101</v>
      </c>
      <c r="B13" s="15">
        <v>208073</v>
      </c>
      <c r="C13" s="15">
        <v>0</v>
      </c>
      <c r="D13" s="15">
        <v>163745</v>
      </c>
      <c r="E13" s="15">
        <v>163745</v>
      </c>
      <c r="F13" s="15">
        <v>173751</v>
      </c>
      <c r="G13" s="16">
        <v>0.42003816366222047</v>
      </c>
    </row>
    <row r="14" spans="1:7" x14ac:dyDescent="0.2">
      <c r="A14" s="9" t="s">
        <v>102</v>
      </c>
      <c r="B14" s="15">
        <v>266402</v>
      </c>
      <c r="C14" s="15">
        <v>8032</v>
      </c>
      <c r="D14" s="15">
        <v>155553</v>
      </c>
      <c r="E14" s="15">
        <v>163585</v>
      </c>
      <c r="F14" s="15">
        <v>163892</v>
      </c>
      <c r="G14" s="16">
        <v>0.39620430799781664</v>
      </c>
    </row>
    <row r="15" spans="1:7" x14ac:dyDescent="0.2">
      <c r="A15" s="9" t="s">
        <v>103</v>
      </c>
      <c r="B15" s="15">
        <v>2080324</v>
      </c>
      <c r="C15" s="15">
        <v>100495</v>
      </c>
      <c r="D15" s="15">
        <v>1847156</v>
      </c>
      <c r="E15" s="15">
        <v>1947651</v>
      </c>
      <c r="F15" s="15">
        <v>1946249</v>
      </c>
      <c r="G15" s="16">
        <v>4.7050023078395693</v>
      </c>
    </row>
    <row r="16" spans="1:7" x14ac:dyDescent="0.2">
      <c r="A16" s="9" t="s">
        <v>104</v>
      </c>
      <c r="B16" s="15">
        <v>1408081</v>
      </c>
      <c r="C16" s="15">
        <v>36994</v>
      </c>
      <c r="D16" s="15">
        <v>1258795</v>
      </c>
      <c r="E16" s="15">
        <v>1295789</v>
      </c>
      <c r="F16" s="15">
        <v>1326291</v>
      </c>
      <c r="G16" s="16">
        <v>3.2062712509380091</v>
      </c>
    </row>
    <row r="17" spans="1:7" x14ac:dyDescent="0.2">
      <c r="A17" s="9" t="s">
        <v>105</v>
      </c>
      <c r="B17" s="15">
        <v>118567</v>
      </c>
      <c r="C17" s="15">
        <v>93377</v>
      </c>
      <c r="D17" s="15">
        <v>162805</v>
      </c>
      <c r="E17" s="15">
        <v>256182</v>
      </c>
      <c r="F17" s="15">
        <v>173728</v>
      </c>
      <c r="G17" s="16">
        <v>0.41998256180804855</v>
      </c>
    </row>
    <row r="18" spans="1:7" x14ac:dyDescent="0.2">
      <c r="A18" s="9" t="s">
        <v>106</v>
      </c>
      <c r="B18" s="15">
        <v>324458</v>
      </c>
      <c r="C18" s="15">
        <v>10877</v>
      </c>
      <c r="D18" s="15">
        <v>278844</v>
      </c>
      <c r="E18" s="15">
        <v>289721</v>
      </c>
      <c r="F18" s="15">
        <v>293797</v>
      </c>
      <c r="G18" s="16">
        <v>0.71024599783292985</v>
      </c>
    </row>
    <row r="19" spans="1:7" x14ac:dyDescent="0.2">
      <c r="A19" s="9" t="s">
        <v>107</v>
      </c>
      <c r="B19" s="15">
        <v>1533769</v>
      </c>
      <c r="C19" s="15">
        <v>53574</v>
      </c>
      <c r="D19" s="15">
        <v>1386033</v>
      </c>
      <c r="E19" s="15">
        <v>1439607</v>
      </c>
      <c r="F19" s="15">
        <v>1460324</v>
      </c>
      <c r="G19" s="16">
        <v>3.530292264861028</v>
      </c>
    </row>
    <row r="20" spans="1:7" x14ac:dyDescent="0.2">
      <c r="A20" s="9" t="s">
        <v>108</v>
      </c>
      <c r="B20" s="15">
        <v>1025624</v>
      </c>
      <c r="C20" s="15">
        <v>54123</v>
      </c>
      <c r="D20" s="15">
        <v>927011</v>
      </c>
      <c r="E20" s="15">
        <v>981134</v>
      </c>
      <c r="F20" s="15">
        <v>978748</v>
      </c>
      <c r="G20" s="16">
        <v>2.366095807264827</v>
      </c>
    </row>
    <row r="21" spans="1:7" x14ac:dyDescent="0.2">
      <c r="A21" s="9" t="s">
        <v>109</v>
      </c>
      <c r="B21" s="15">
        <v>594277</v>
      </c>
      <c r="C21" s="15">
        <v>2845</v>
      </c>
      <c r="D21" s="15">
        <v>479133</v>
      </c>
      <c r="E21" s="15">
        <v>481978</v>
      </c>
      <c r="F21" s="15">
        <v>504834</v>
      </c>
      <c r="G21" s="16">
        <v>1.2204220195236484</v>
      </c>
    </row>
    <row r="22" spans="1:7" x14ac:dyDescent="0.2">
      <c r="A22" s="9" t="s">
        <v>110</v>
      </c>
      <c r="B22" s="15">
        <v>384302</v>
      </c>
      <c r="C22" s="15">
        <v>20154</v>
      </c>
      <c r="D22" s="15">
        <v>368418</v>
      </c>
      <c r="E22" s="15">
        <v>388572</v>
      </c>
      <c r="F22" s="15">
        <v>388179</v>
      </c>
      <c r="G22" s="16">
        <v>0.93841183263542127</v>
      </c>
    </row>
    <row r="23" spans="1:7" x14ac:dyDescent="0.2">
      <c r="A23" s="9" t="s">
        <v>111</v>
      </c>
      <c r="B23" s="15">
        <v>767530</v>
      </c>
      <c r="C23" s="15">
        <v>37239</v>
      </c>
      <c r="D23" s="15">
        <v>647766</v>
      </c>
      <c r="E23" s="15">
        <v>685005</v>
      </c>
      <c r="F23" s="15">
        <v>693314</v>
      </c>
      <c r="G23" s="16">
        <v>1.6760671271032035</v>
      </c>
    </row>
    <row r="24" spans="1:7" x14ac:dyDescent="0.2">
      <c r="A24" s="9" t="s">
        <v>112</v>
      </c>
      <c r="B24" s="15">
        <v>791458</v>
      </c>
      <c r="C24" s="15">
        <v>35299</v>
      </c>
      <c r="D24" s="15">
        <v>681316</v>
      </c>
      <c r="E24" s="15">
        <v>716615</v>
      </c>
      <c r="F24" s="15">
        <v>720958</v>
      </c>
      <c r="G24" s="16">
        <v>1.7428957208740505</v>
      </c>
    </row>
    <row r="25" spans="1:7" x14ac:dyDescent="0.2">
      <c r="A25" s="9" t="s">
        <v>113</v>
      </c>
      <c r="B25" s="15">
        <v>206259</v>
      </c>
      <c r="C25" s="15">
        <v>8653</v>
      </c>
      <c r="D25" s="15">
        <v>167835</v>
      </c>
      <c r="E25" s="15">
        <v>176488</v>
      </c>
      <c r="F25" s="15">
        <v>189289</v>
      </c>
      <c r="G25" s="16">
        <v>0.45760084236325577</v>
      </c>
    </row>
    <row r="26" spans="1:7" x14ac:dyDescent="0.2">
      <c r="A26" s="9" t="s">
        <v>114</v>
      </c>
      <c r="B26" s="15">
        <v>630875</v>
      </c>
      <c r="C26" s="15">
        <v>27681</v>
      </c>
      <c r="D26" s="15">
        <v>585837</v>
      </c>
      <c r="E26" s="15">
        <v>613518</v>
      </c>
      <c r="F26" s="15">
        <v>617233</v>
      </c>
      <c r="G26" s="16">
        <v>1.4921434459181433</v>
      </c>
    </row>
    <row r="27" spans="1:7" x14ac:dyDescent="0.2">
      <c r="A27" s="9" t="s">
        <v>115</v>
      </c>
      <c r="B27" s="15">
        <v>615437</v>
      </c>
      <c r="C27" s="15">
        <v>30597</v>
      </c>
      <c r="D27" s="15">
        <v>592078</v>
      </c>
      <c r="E27" s="15">
        <v>622675</v>
      </c>
      <c r="F27" s="15">
        <v>623801</v>
      </c>
      <c r="G27" s="16">
        <v>1.5080214014921169</v>
      </c>
    </row>
    <row r="28" spans="1:7" x14ac:dyDescent="0.2">
      <c r="A28" s="9" t="s">
        <v>116</v>
      </c>
      <c r="B28" s="15">
        <v>1151768</v>
      </c>
      <c r="C28" s="15">
        <v>78434</v>
      </c>
      <c r="D28" s="15">
        <v>1026434</v>
      </c>
      <c r="E28" s="15">
        <v>1104868</v>
      </c>
      <c r="F28" s="15">
        <v>1084756</v>
      </c>
      <c r="G28" s="16">
        <v>2.6223671706152807</v>
      </c>
    </row>
    <row r="29" spans="1:7" x14ac:dyDescent="0.2">
      <c r="A29" s="9" t="s">
        <v>117</v>
      </c>
      <c r="B29" s="15">
        <v>723642</v>
      </c>
      <c r="C29" s="15">
        <v>0</v>
      </c>
      <c r="D29" s="15">
        <v>629133</v>
      </c>
      <c r="E29" s="15">
        <v>629133</v>
      </c>
      <c r="F29" s="15">
        <v>671102</v>
      </c>
      <c r="G29" s="16">
        <v>1.6223702408046197</v>
      </c>
    </row>
    <row r="30" spans="1:7" x14ac:dyDescent="0.2">
      <c r="A30" s="9" t="s">
        <v>118</v>
      </c>
      <c r="B30" s="15">
        <v>536226</v>
      </c>
      <c r="C30" s="15">
        <v>24326</v>
      </c>
      <c r="D30" s="15">
        <v>466480</v>
      </c>
      <c r="E30" s="15">
        <v>490806</v>
      </c>
      <c r="F30" s="15">
        <v>496808</v>
      </c>
      <c r="G30" s="16">
        <v>1.2010193898895571</v>
      </c>
    </row>
    <row r="31" spans="1:7" x14ac:dyDescent="0.2">
      <c r="A31" s="9" t="s">
        <v>119</v>
      </c>
      <c r="B31" s="15">
        <v>1036742</v>
      </c>
      <c r="C31" s="15">
        <v>46399</v>
      </c>
      <c r="D31" s="15">
        <v>918030</v>
      </c>
      <c r="E31" s="15">
        <v>964429</v>
      </c>
      <c r="F31" s="15">
        <v>972445</v>
      </c>
      <c r="G31" s="16">
        <v>2.3508584817497913</v>
      </c>
    </row>
    <row r="32" spans="1:7" x14ac:dyDescent="0.2">
      <c r="A32" s="9" t="s">
        <v>120</v>
      </c>
      <c r="B32" s="15">
        <v>459833</v>
      </c>
      <c r="C32" s="15">
        <v>38579</v>
      </c>
      <c r="D32" s="15">
        <v>399159</v>
      </c>
      <c r="E32" s="15">
        <v>437738</v>
      </c>
      <c r="F32" s="15">
        <v>421454</v>
      </c>
      <c r="G32" s="16">
        <v>1.0188532107907147</v>
      </c>
    </row>
    <row r="33" spans="1:7" x14ac:dyDescent="0.2">
      <c r="A33" s="9" t="s">
        <v>121</v>
      </c>
      <c r="B33" s="15">
        <v>324434</v>
      </c>
      <c r="C33" s="15">
        <v>16262</v>
      </c>
      <c r="D33" s="15">
        <v>281790</v>
      </c>
      <c r="E33" s="15">
        <v>298052</v>
      </c>
      <c r="F33" s="15">
        <v>296903</v>
      </c>
      <c r="G33" s="16">
        <v>0.717754665618064</v>
      </c>
    </row>
    <row r="34" spans="1:7" x14ac:dyDescent="0.2">
      <c r="A34" s="9" t="s">
        <v>122</v>
      </c>
      <c r="B34" s="15">
        <v>357710</v>
      </c>
      <c r="C34" s="15">
        <v>25775</v>
      </c>
      <c r="D34" s="15">
        <v>353996</v>
      </c>
      <c r="E34" s="15">
        <v>379771</v>
      </c>
      <c r="F34" s="15">
        <v>372967</v>
      </c>
      <c r="G34" s="16">
        <v>0.90163724978047544</v>
      </c>
    </row>
    <row r="35" spans="1:7" x14ac:dyDescent="0.2">
      <c r="A35" s="9" t="s">
        <v>123</v>
      </c>
      <c r="B35" s="15">
        <v>182814</v>
      </c>
      <c r="C35" s="15">
        <v>8317</v>
      </c>
      <c r="D35" s="15">
        <v>161075</v>
      </c>
      <c r="E35" s="15">
        <v>169392</v>
      </c>
      <c r="F35" s="15">
        <v>169711</v>
      </c>
      <c r="G35" s="16">
        <v>0.41027157710332085</v>
      </c>
    </row>
    <row r="36" spans="1:7" x14ac:dyDescent="0.2">
      <c r="A36" s="9" t="s">
        <v>124</v>
      </c>
      <c r="B36" s="15">
        <v>924657</v>
      </c>
      <c r="C36" s="15">
        <v>34371</v>
      </c>
      <c r="D36" s="15">
        <v>973361</v>
      </c>
      <c r="E36" s="15">
        <v>1007732</v>
      </c>
      <c r="F36" s="15">
        <v>1025514</v>
      </c>
      <c r="G36" s="16">
        <v>2.4791512990998519</v>
      </c>
    </row>
    <row r="37" spans="1:7" x14ac:dyDescent="0.2">
      <c r="A37" s="9" t="s">
        <v>125</v>
      </c>
      <c r="B37" s="15">
        <v>433506</v>
      </c>
      <c r="C37" s="15">
        <v>3671</v>
      </c>
      <c r="D37" s="15">
        <v>352332</v>
      </c>
      <c r="E37" s="15">
        <v>356003</v>
      </c>
      <c r="F37" s="15">
        <v>377217</v>
      </c>
      <c r="G37" s="16">
        <v>0.91191150544268418</v>
      </c>
    </row>
    <row r="38" spans="1:7" x14ac:dyDescent="0.2">
      <c r="A38" s="9" t="s">
        <v>126</v>
      </c>
      <c r="B38" s="15">
        <v>1793606</v>
      </c>
      <c r="C38" s="15">
        <v>97273</v>
      </c>
      <c r="D38" s="15">
        <v>1636352</v>
      </c>
      <c r="E38" s="15">
        <v>1733625</v>
      </c>
      <c r="F38" s="15">
        <v>1924663</v>
      </c>
      <c r="G38" s="16">
        <v>4.6528187589632308</v>
      </c>
    </row>
    <row r="39" spans="1:7" x14ac:dyDescent="0.2">
      <c r="A39" s="9" t="s">
        <v>127</v>
      </c>
      <c r="B39" s="15">
        <v>1179722</v>
      </c>
      <c r="C39" s="15">
        <v>57564</v>
      </c>
      <c r="D39" s="15">
        <v>1016775</v>
      </c>
      <c r="E39" s="15">
        <v>1074339</v>
      </c>
      <c r="F39" s="15">
        <v>1133976</v>
      </c>
      <c r="G39" s="16">
        <v>2.7413551385432608</v>
      </c>
    </row>
    <row r="40" spans="1:7" x14ac:dyDescent="0.2">
      <c r="A40" s="9" t="s">
        <v>128</v>
      </c>
      <c r="B40" s="15">
        <v>278268</v>
      </c>
      <c r="C40" s="15">
        <v>0</v>
      </c>
      <c r="D40" s="15">
        <v>242037</v>
      </c>
      <c r="E40" s="15">
        <v>242037</v>
      </c>
      <c r="F40" s="15">
        <v>255017</v>
      </c>
      <c r="G40" s="16">
        <v>0.6164964367551754</v>
      </c>
    </row>
    <row r="41" spans="1:7" x14ac:dyDescent="0.2">
      <c r="A41" s="9" t="s">
        <v>129</v>
      </c>
      <c r="B41" s="15">
        <v>1414623</v>
      </c>
      <c r="C41" s="15">
        <v>151731</v>
      </c>
      <c r="D41" s="15">
        <v>1305440</v>
      </c>
      <c r="E41" s="15">
        <v>1457171</v>
      </c>
      <c r="F41" s="15">
        <v>1380280</v>
      </c>
      <c r="G41" s="16">
        <v>3.3367881424549481</v>
      </c>
    </row>
    <row r="42" spans="1:7" x14ac:dyDescent="0.2">
      <c r="A42" s="9" t="s">
        <v>130</v>
      </c>
      <c r="B42" s="15">
        <v>687483</v>
      </c>
      <c r="C42" s="15">
        <v>38273</v>
      </c>
      <c r="D42" s="15">
        <v>618308</v>
      </c>
      <c r="E42" s="15">
        <v>656581</v>
      </c>
      <c r="F42" s="15">
        <v>651476</v>
      </c>
      <c r="G42" s="16">
        <v>1.5749249368924998</v>
      </c>
    </row>
    <row r="43" spans="1:7" x14ac:dyDescent="0.2">
      <c r="A43" s="9" t="s">
        <v>131</v>
      </c>
      <c r="B43" s="15">
        <v>517269</v>
      </c>
      <c r="C43" s="15">
        <v>45552</v>
      </c>
      <c r="D43" s="15">
        <v>485247</v>
      </c>
      <c r="E43" s="15">
        <v>530799</v>
      </c>
      <c r="F43" s="15">
        <v>513420</v>
      </c>
      <c r="G43" s="16">
        <v>1.2411784334332305</v>
      </c>
    </row>
    <row r="44" spans="1:7" x14ac:dyDescent="0.2">
      <c r="A44" s="9" t="s">
        <v>132</v>
      </c>
      <c r="B44" s="15">
        <v>1884467</v>
      </c>
      <c r="C44" s="15">
        <v>46715</v>
      </c>
      <c r="D44" s="15">
        <v>1599547</v>
      </c>
      <c r="E44" s="15">
        <v>1646262</v>
      </c>
      <c r="F44" s="15">
        <v>1685300</v>
      </c>
      <c r="G44" s="16">
        <v>4.0741654276518702</v>
      </c>
    </row>
    <row r="45" spans="1:7" x14ac:dyDescent="0.2">
      <c r="A45" s="9" t="s">
        <v>133</v>
      </c>
      <c r="B45" s="15">
        <v>222172</v>
      </c>
      <c r="C45" s="15">
        <v>11006</v>
      </c>
      <c r="D45" s="15">
        <v>209897</v>
      </c>
      <c r="E45" s="15">
        <v>220903</v>
      </c>
      <c r="F45" s="15">
        <v>224641</v>
      </c>
      <c r="G45" s="16">
        <v>0.54306330969746863</v>
      </c>
    </row>
    <row r="46" spans="1:7" x14ac:dyDescent="0.2">
      <c r="A46" s="9" t="s">
        <v>134</v>
      </c>
      <c r="B46" s="15">
        <v>717159</v>
      </c>
      <c r="C46" s="15">
        <v>41497</v>
      </c>
      <c r="D46" s="15">
        <v>651433</v>
      </c>
      <c r="E46" s="15">
        <v>692930</v>
      </c>
      <c r="F46" s="15">
        <v>687850</v>
      </c>
      <c r="G46" s="16">
        <v>1.6628580605294838</v>
      </c>
    </row>
    <row r="47" spans="1:7" x14ac:dyDescent="0.2">
      <c r="A47" s="9" t="s">
        <v>135</v>
      </c>
      <c r="B47" s="15">
        <v>310543</v>
      </c>
      <c r="C47" s="15">
        <v>14190</v>
      </c>
      <c r="D47" s="15">
        <v>273501</v>
      </c>
      <c r="E47" s="15">
        <v>287691</v>
      </c>
      <c r="F47" s="15">
        <v>289678</v>
      </c>
      <c r="G47" s="16">
        <v>0.70028843099230909</v>
      </c>
    </row>
    <row r="48" spans="1:7" x14ac:dyDescent="0.2">
      <c r="A48" s="9" t="s">
        <v>136</v>
      </c>
      <c r="B48" s="15">
        <v>958295</v>
      </c>
      <c r="C48" s="15">
        <v>37256</v>
      </c>
      <c r="D48" s="15">
        <v>813345</v>
      </c>
      <c r="E48" s="15">
        <v>850601</v>
      </c>
      <c r="F48" s="15">
        <v>868005</v>
      </c>
      <c r="G48" s="16">
        <v>2.0983777143707125</v>
      </c>
    </row>
    <row r="49" spans="1:7" x14ac:dyDescent="0.2">
      <c r="A49" s="9" t="s">
        <v>137</v>
      </c>
      <c r="B49" s="15">
        <v>3894962</v>
      </c>
      <c r="C49" s="15">
        <v>208194</v>
      </c>
      <c r="D49" s="15">
        <v>3424757</v>
      </c>
      <c r="E49" s="15">
        <v>3632951</v>
      </c>
      <c r="F49" s="15">
        <v>3550365</v>
      </c>
      <c r="G49" s="16">
        <v>8.5829076950959671</v>
      </c>
    </row>
    <row r="50" spans="1:7" x14ac:dyDescent="0.2">
      <c r="A50" s="9" t="s">
        <v>138</v>
      </c>
      <c r="B50" s="15">
        <v>374604</v>
      </c>
      <c r="C50" s="15">
        <v>17471</v>
      </c>
      <c r="D50" s="15">
        <v>338528</v>
      </c>
      <c r="E50" s="15">
        <v>355999</v>
      </c>
      <c r="F50" s="15">
        <v>356682</v>
      </c>
      <c r="G50" s="16">
        <v>0.86226871955481188</v>
      </c>
    </row>
    <row r="51" spans="1:7" x14ac:dyDescent="0.2">
      <c r="A51" s="9" t="s">
        <v>139</v>
      </c>
      <c r="B51" s="15">
        <v>221347</v>
      </c>
      <c r="C51" s="15">
        <v>10933</v>
      </c>
      <c r="D51" s="15">
        <v>197508</v>
      </c>
      <c r="E51" s="15">
        <v>208441</v>
      </c>
      <c r="F51" s="15">
        <v>216857</v>
      </c>
      <c r="G51" s="16">
        <v>0.52424570826814321</v>
      </c>
    </row>
    <row r="52" spans="1:7" x14ac:dyDescent="0.2">
      <c r="A52" s="9" t="s">
        <v>140</v>
      </c>
      <c r="B52" s="15">
        <v>1140334</v>
      </c>
      <c r="C52" s="15">
        <v>39924</v>
      </c>
      <c r="D52" s="15">
        <v>983084</v>
      </c>
      <c r="E52" s="15">
        <v>1023008</v>
      </c>
      <c r="F52" s="15">
        <v>1045267</v>
      </c>
      <c r="G52" s="16">
        <v>2.5269036219458778</v>
      </c>
    </row>
    <row r="53" spans="1:7" x14ac:dyDescent="0.2">
      <c r="A53" s="9" t="s">
        <v>141</v>
      </c>
      <c r="B53" s="15">
        <v>705063</v>
      </c>
      <c r="C53" s="15">
        <v>34943</v>
      </c>
      <c r="D53" s="15">
        <v>659665</v>
      </c>
      <c r="E53" s="15">
        <v>694608</v>
      </c>
      <c r="F53" s="15">
        <v>696329</v>
      </c>
      <c r="G53" s="16">
        <v>1.6833558049435706</v>
      </c>
    </row>
    <row r="54" spans="1:7" x14ac:dyDescent="0.2">
      <c r="A54" s="9" t="s">
        <v>142</v>
      </c>
      <c r="B54" s="15">
        <v>493858</v>
      </c>
      <c r="C54" s="15">
        <v>35885</v>
      </c>
      <c r="D54" s="15">
        <v>426053</v>
      </c>
      <c r="E54" s="15">
        <v>461938</v>
      </c>
      <c r="F54" s="15">
        <v>448903</v>
      </c>
      <c r="G54" s="16">
        <v>1.0852103975370602</v>
      </c>
    </row>
    <row r="55" spans="1:7" x14ac:dyDescent="0.2">
      <c r="A55" s="9" t="s">
        <v>143</v>
      </c>
      <c r="B55" s="15">
        <v>816905</v>
      </c>
      <c r="C55" s="15">
        <v>55450</v>
      </c>
      <c r="D55" s="15">
        <v>733551</v>
      </c>
      <c r="E55" s="15">
        <v>789001</v>
      </c>
      <c r="F55" s="15">
        <v>772891</v>
      </c>
      <c r="G55" s="16">
        <v>1.8684422901224007</v>
      </c>
    </row>
    <row r="56" spans="1:7" x14ac:dyDescent="0.2">
      <c r="A56" s="9" t="s">
        <v>144</v>
      </c>
      <c r="B56" s="15">
        <v>296534</v>
      </c>
      <c r="C56" s="15">
        <v>24909</v>
      </c>
      <c r="D56" s="15">
        <v>249756</v>
      </c>
      <c r="E56" s="15">
        <v>274665</v>
      </c>
      <c r="F56" s="15">
        <v>263149</v>
      </c>
      <c r="G56" s="16">
        <v>0.63615531841284167</v>
      </c>
    </row>
    <row r="57" spans="1:7" x14ac:dyDescent="0.2">
      <c r="A57" s="9" t="s">
        <v>145</v>
      </c>
      <c r="B57" s="15">
        <v>2531</v>
      </c>
      <c r="C57" s="15">
        <v>7659</v>
      </c>
      <c r="D57" s="15">
        <v>3304</v>
      </c>
      <c r="E57" s="15">
        <v>10963</v>
      </c>
      <c r="F57" s="15">
        <v>15843</v>
      </c>
      <c r="G57" s="16">
        <v>3.8300007636793795E-2</v>
      </c>
    </row>
    <row r="58" spans="1:7" x14ac:dyDescent="0.2">
      <c r="A58" s="9" t="s">
        <v>146</v>
      </c>
      <c r="B58" s="15">
        <v>9102</v>
      </c>
      <c r="C58" s="15">
        <v>0</v>
      </c>
      <c r="D58" s="15">
        <v>11967</v>
      </c>
      <c r="E58" s="15">
        <v>11967</v>
      </c>
      <c r="F58" s="15">
        <v>12283</v>
      </c>
      <c r="G58" s="16">
        <v>2.9693807599743622E-2</v>
      </c>
    </row>
    <row r="59" spans="1:7" x14ac:dyDescent="0.2">
      <c r="A59" s="9" t="s">
        <v>147</v>
      </c>
      <c r="B59" s="15">
        <v>3668</v>
      </c>
      <c r="C59" s="15">
        <v>2420</v>
      </c>
      <c r="D59" s="15">
        <v>4694</v>
      </c>
      <c r="E59" s="15">
        <v>7114</v>
      </c>
      <c r="F59" s="15">
        <v>4822</v>
      </c>
      <c r="G59" s="16">
        <v>1.1657049600746051E-2</v>
      </c>
    </row>
    <row r="60" spans="1:7" x14ac:dyDescent="0.2">
      <c r="A60" s="9" t="s">
        <v>148</v>
      </c>
      <c r="B60" s="15">
        <v>266291</v>
      </c>
      <c r="C60" s="15">
        <v>311844</v>
      </c>
      <c r="D60" s="15">
        <v>136527</v>
      </c>
      <c r="E60" s="15">
        <v>448371</v>
      </c>
      <c r="F60" s="15">
        <v>150574</v>
      </c>
      <c r="G60" s="16">
        <v>0.36400841696033509</v>
      </c>
    </row>
    <row r="61" spans="1:7" x14ac:dyDescent="0.2">
      <c r="A61" s="9" t="s">
        <v>149</v>
      </c>
      <c r="B61" s="15">
        <v>0</v>
      </c>
      <c r="C61" s="15">
        <v>0</v>
      </c>
      <c r="D61" s="15">
        <v>0</v>
      </c>
      <c r="E61" s="15">
        <v>0</v>
      </c>
      <c r="F61" s="15">
        <v>0</v>
      </c>
      <c r="G61" s="16">
        <v>0</v>
      </c>
    </row>
    <row r="62" spans="1:7" x14ac:dyDescent="0.2">
      <c r="A62" s="9" t="s">
        <v>150</v>
      </c>
      <c r="B62" s="15">
        <v>14865</v>
      </c>
      <c r="C62" s="15">
        <v>25580</v>
      </c>
      <c r="D62" s="15">
        <v>19011</v>
      </c>
      <c r="E62" s="15">
        <v>44591</v>
      </c>
      <c r="F62" s="15">
        <v>33428</v>
      </c>
      <c r="G62" s="16">
        <v>8.0811251359132932E-2</v>
      </c>
    </row>
    <row r="63" spans="1:7" x14ac:dyDescent="0.2">
      <c r="A63" s="9" t="s">
        <v>151</v>
      </c>
      <c r="B63" s="15">
        <v>0</v>
      </c>
      <c r="C63" s="15">
        <v>0</v>
      </c>
      <c r="D63" s="15">
        <v>0</v>
      </c>
      <c r="E63" s="15">
        <v>0</v>
      </c>
      <c r="F63" s="15">
        <v>0</v>
      </c>
      <c r="G63" s="16">
        <v>0</v>
      </c>
    </row>
    <row r="64" spans="1:7" ht="15" x14ac:dyDescent="0.2">
      <c r="A64" s="9" t="s">
        <v>152</v>
      </c>
      <c r="B64" s="15">
        <v>0</v>
      </c>
      <c r="C64" s="21" t="s">
        <v>315</v>
      </c>
      <c r="D64" s="21" t="s">
        <v>316</v>
      </c>
      <c r="E64" s="15">
        <v>8141605</v>
      </c>
      <c r="F64" s="21" t="s">
        <v>317</v>
      </c>
      <c r="G64" s="16">
        <v>0</v>
      </c>
    </row>
    <row r="65" spans="1:7" ht="15" customHeight="1" x14ac:dyDescent="0.2">
      <c r="A65" s="17" t="s">
        <v>93</v>
      </c>
      <c r="B65" s="18">
        <f>896484+548878+732343+555817+4052152+730076+535412+208073+266402+2080324+1408081+118567+324458+1533769+1025624+594277+384302+767530+791458+206259+630875+615437+1151768+723642+536226+1036742+459833+324434+357710+182814+924657+433506+1793606+1179722+278268+1414623+687483+517269+1884467+222172+717159+310543+958295+3894962+374604+221347+1140334+705063+493858+816905+296534+2531+9102+3668+266291+0+14865+0+0+0</f>
        <v>43341601</v>
      </c>
      <c r="C65" s="18">
        <f>8098+43722+52834+26041+297846+22791+23664+0+8032+100495+36994+93377+10877+53574+54123+2845+20154+37239+35299+8653+27681+30597+78434+0+24326+46399+38579+16262+25775+8317+34371+3671+97273+57564+0+151731+38273+45552+46715+11006+41497+14190+37256+208194+17471+10933+39924+34943+35885+55450+24909+7659+0+2420+311844+0+25580+0+608861+0</f>
        <v>3196200</v>
      </c>
      <c r="D65" s="18">
        <f>739657+488831+713289+504758+3544252+520865+484796+163745+155553+1847156+1258795+162805+278844+1386033+927011+479133+368418+647766+681316+167835+585837+592078+1026434+629133+466480+918030+399159+281790+353996+161075+973361+352332+1636352+1016775+242037+1305440+618308+485247+1599547+209897+651433+273501+813345+3424757+338528+197508+983084+659665+426053+733551+249756+3304+11967+4694+136527+0+19011+0+7532744+0</f>
        <v>45833594</v>
      </c>
      <c r="E65" s="18" t="s">
        <v>385</v>
      </c>
      <c r="F65" s="18" t="s">
        <v>387</v>
      </c>
      <c r="G65" s="19" t="s">
        <v>295</v>
      </c>
    </row>
    <row r="66" spans="1:7" ht="15" customHeight="1" x14ac:dyDescent="0.2">
      <c r="A66" s="73" t="s">
        <v>383</v>
      </c>
      <c r="B66" s="73"/>
      <c r="C66" s="73"/>
      <c r="D66" s="73"/>
      <c r="E66" s="73"/>
      <c r="F66" s="73"/>
      <c r="G66" s="73"/>
    </row>
    <row r="67" spans="1:7" ht="18" customHeight="1" x14ac:dyDescent="0.2">
      <c r="A67" s="66" t="s">
        <v>318</v>
      </c>
      <c r="B67" s="66"/>
      <c r="C67" s="66"/>
      <c r="D67" s="66"/>
      <c r="E67" s="66"/>
      <c r="F67" s="66"/>
      <c r="G67" s="66"/>
    </row>
    <row r="68" spans="1:7" ht="35.25" customHeight="1" x14ac:dyDescent="0.2">
      <c r="A68" s="73" t="s">
        <v>384</v>
      </c>
      <c r="B68" s="73"/>
      <c r="C68" s="73"/>
      <c r="D68" s="73"/>
      <c r="E68" s="73"/>
      <c r="F68" s="73"/>
      <c r="G68" s="73"/>
    </row>
    <row r="69" spans="1:7" ht="38.25" customHeight="1" x14ac:dyDescent="0.2">
      <c r="A69" s="73" t="s">
        <v>386</v>
      </c>
      <c r="B69" s="73"/>
      <c r="C69" s="73"/>
      <c r="D69" s="73"/>
      <c r="E69" s="73"/>
      <c r="F69" s="73"/>
      <c r="G69" s="73"/>
    </row>
    <row r="70" spans="1:7" ht="19.5" customHeight="1" x14ac:dyDescent="0.2">
      <c r="A70" s="66" t="s">
        <v>299</v>
      </c>
      <c r="B70" s="66"/>
      <c r="C70" s="66"/>
      <c r="D70" s="66"/>
      <c r="E70" s="66"/>
      <c r="F70" s="66"/>
      <c r="G70" s="66"/>
    </row>
  </sheetData>
  <mergeCells count="9">
    <mergeCell ref="A68:G68"/>
    <mergeCell ref="A69:G69"/>
    <mergeCell ref="A70:G70"/>
    <mergeCell ref="A4:A5"/>
    <mergeCell ref="B4:B5"/>
    <mergeCell ref="F4:F5"/>
    <mergeCell ref="G4:G5"/>
    <mergeCell ref="A66:G66"/>
    <mergeCell ref="A67:G67"/>
  </mergeCells>
  <pageMargins left="0.7" right="0.7" top="0.75" bottom="0.75" header="0.3" footer="0.3"/>
  <pageSetup scale="7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heetViews>
  <sheetFormatPr defaultRowHeight="12.75" x14ac:dyDescent="0.2"/>
  <cols>
    <col min="1" max="1" width="30.7109375" customWidth="1"/>
    <col min="2" max="7" width="11.7109375" customWidth="1"/>
  </cols>
  <sheetData>
    <row r="1" spans="1:7" ht="38.25" customHeight="1" x14ac:dyDescent="0.2">
      <c r="A1" s="10" t="s">
        <v>319</v>
      </c>
      <c r="B1" s="8"/>
      <c r="C1" s="8"/>
      <c r="D1" s="8"/>
      <c r="E1" s="8"/>
      <c r="F1" s="8"/>
      <c r="G1" s="10" t="s">
        <v>320</v>
      </c>
    </row>
    <row r="2" spans="1:7" x14ac:dyDescent="0.2">
      <c r="A2" s="11" t="s">
        <v>321</v>
      </c>
      <c r="B2" s="12"/>
      <c r="C2" s="12"/>
      <c r="D2" s="12"/>
      <c r="E2" s="12"/>
      <c r="F2" s="12"/>
      <c r="G2" s="12"/>
    </row>
    <row r="3" spans="1:7" x14ac:dyDescent="0.2">
      <c r="A3" s="12" t="s">
        <v>85</v>
      </c>
      <c r="B3" s="12"/>
      <c r="C3" s="12"/>
      <c r="D3" s="12"/>
      <c r="E3" s="12"/>
      <c r="F3" s="12"/>
      <c r="G3" s="12"/>
    </row>
    <row r="4" spans="1:7" x14ac:dyDescent="0.2">
      <c r="A4" s="74" t="s">
        <v>86</v>
      </c>
      <c r="B4" s="76" t="s">
        <v>87</v>
      </c>
      <c r="C4" s="37" t="s">
        <v>88</v>
      </c>
      <c r="D4" s="37"/>
      <c r="E4" s="37"/>
      <c r="F4" s="76" t="s">
        <v>89</v>
      </c>
      <c r="G4" s="78" t="s">
        <v>90</v>
      </c>
    </row>
    <row r="5" spans="1:7" ht="25.5" customHeight="1" x14ac:dyDescent="0.2">
      <c r="A5" s="75"/>
      <c r="B5" s="77"/>
      <c r="C5" s="36" t="s">
        <v>91</v>
      </c>
      <c r="D5" s="36" t="s">
        <v>92</v>
      </c>
      <c r="E5" s="36" t="s">
        <v>93</v>
      </c>
      <c r="F5" s="77"/>
      <c r="G5" s="79"/>
    </row>
    <row r="6" spans="1:7" x14ac:dyDescent="0.2">
      <c r="A6" s="9" t="s">
        <v>94</v>
      </c>
      <c r="B6" s="35">
        <v>42595</v>
      </c>
      <c r="C6" s="35">
        <v>23006</v>
      </c>
      <c r="D6" s="35">
        <v>17355</v>
      </c>
      <c r="E6" s="35">
        <v>40361</v>
      </c>
      <c r="F6" s="35">
        <v>40756</v>
      </c>
      <c r="G6" s="33">
        <f>IF(AND(F65&lt;&gt;71000,40756&lt;&gt;0),IF(100*40756/(F65-71000)&lt;0.005,"*",100*40756/(F65-71000)),0)</f>
        <v>0.36246880781415725</v>
      </c>
    </row>
    <row r="7" spans="1:7" x14ac:dyDescent="0.2">
      <c r="A7" s="9" t="s">
        <v>95</v>
      </c>
      <c r="B7" s="35">
        <v>66527</v>
      </c>
      <c r="C7" s="35">
        <v>35932</v>
      </c>
      <c r="D7" s="35">
        <v>27106</v>
      </c>
      <c r="E7" s="35">
        <v>63038</v>
      </c>
      <c r="F7" s="35">
        <v>63655</v>
      </c>
      <c r="G7" s="33">
        <f>IF(AND(F65&lt;&gt;71000,63655&lt;&gt;0),IF(100*63655/(F65-71000)&lt;0.005,"*",100*63655/(F65-71000)),0)</f>
        <v>0.5661240544069629</v>
      </c>
    </row>
    <row r="8" spans="1:7" x14ac:dyDescent="0.2">
      <c r="A8" s="9" t="s">
        <v>96</v>
      </c>
      <c r="B8" s="35">
        <v>221679</v>
      </c>
      <c r="C8" s="35">
        <v>119730</v>
      </c>
      <c r="D8" s="35">
        <v>90322</v>
      </c>
      <c r="E8" s="35">
        <v>210052</v>
      </c>
      <c r="F8" s="35">
        <v>212108</v>
      </c>
      <c r="G8" s="33">
        <f>IF(AND(F65&lt;&gt;71000,212108&lt;&gt;0),IF(100*212108/(F65-71000)&lt;0.005,"*",100*212108/(F65-71000)),0)</f>
        <v>1.8864101945197094</v>
      </c>
    </row>
    <row r="9" spans="1:7" x14ac:dyDescent="0.2">
      <c r="A9" s="9" t="s">
        <v>97</v>
      </c>
      <c r="B9" s="35">
        <v>15263</v>
      </c>
      <c r="C9" s="35">
        <v>8243</v>
      </c>
      <c r="D9" s="35">
        <v>6219</v>
      </c>
      <c r="E9" s="35">
        <v>14462</v>
      </c>
      <c r="F9" s="35">
        <v>14604</v>
      </c>
      <c r="G9" s="33">
        <f>IF(AND(F65&lt;&gt;71000,14604&lt;&gt;0),IF(100*14604/(F65-71000)&lt;0.005,"*",100*14604/(F65-71000)),0)</f>
        <v>0.12988258095293828</v>
      </c>
    </row>
    <row r="10" spans="1:7" x14ac:dyDescent="0.2">
      <c r="A10" s="9" t="s">
        <v>98</v>
      </c>
      <c r="B10" s="35">
        <v>1791190</v>
      </c>
      <c r="C10" s="35">
        <v>967425</v>
      </c>
      <c r="D10" s="35">
        <v>729812</v>
      </c>
      <c r="E10" s="35">
        <v>1697237</v>
      </c>
      <c r="F10" s="35">
        <v>1713852</v>
      </c>
      <c r="G10" s="33">
        <f>IF(AND(F65&lt;&gt;71000,1713852&lt;&gt;0),IF(100*1713852/(F65-71000)&lt;0.005,"*",100*1713852/(F65-71000)),0)</f>
        <v>15.24236655240723</v>
      </c>
    </row>
    <row r="11" spans="1:7" x14ac:dyDescent="0.2">
      <c r="A11" s="9" t="s">
        <v>99</v>
      </c>
      <c r="B11" s="35">
        <v>151095</v>
      </c>
      <c r="C11" s="35">
        <v>81607</v>
      </c>
      <c r="D11" s="35">
        <v>61563</v>
      </c>
      <c r="E11" s="35">
        <v>143170</v>
      </c>
      <c r="F11" s="35">
        <v>144571</v>
      </c>
      <c r="G11" s="33">
        <f>IF(AND(F65&lt;&gt;71000,144571&lt;&gt;0),IF(100*144571/(F65-71000)&lt;0.005,"*",100*144571/(F65-71000)),0)</f>
        <v>1.285761066211123</v>
      </c>
    </row>
    <row r="12" spans="1:7" x14ac:dyDescent="0.2">
      <c r="A12" s="9" t="s">
        <v>100</v>
      </c>
      <c r="B12" s="35">
        <v>301879</v>
      </c>
      <c r="C12" s="35">
        <v>163045</v>
      </c>
      <c r="D12" s="35">
        <v>122999</v>
      </c>
      <c r="E12" s="35">
        <v>286044</v>
      </c>
      <c r="F12" s="35">
        <v>288845</v>
      </c>
      <c r="G12" s="33">
        <f>IF(AND(F65&lt;&gt;71000,288845&lt;&gt;0),IF(100*288845/(F65-71000)&lt;0.005,"*",100*288845/(F65-71000)),0)</f>
        <v>2.5688807241407465</v>
      </c>
    </row>
    <row r="13" spans="1:7" x14ac:dyDescent="0.2">
      <c r="A13" s="9" t="s">
        <v>101</v>
      </c>
      <c r="B13" s="35">
        <v>22296</v>
      </c>
      <c r="C13" s="35">
        <v>12042</v>
      </c>
      <c r="D13" s="35">
        <v>9084</v>
      </c>
      <c r="E13" s="35">
        <v>21126</v>
      </c>
      <c r="F13" s="35">
        <v>21333</v>
      </c>
      <c r="G13" s="33">
        <f>IF(AND(F65&lt;&gt;71000,21333&lt;&gt;0),IF(100*21333/(F65-71000)&lt;0.005,"*",100*21333/(F65-71000)),0)</f>
        <v>0.18972782110853414</v>
      </c>
    </row>
    <row r="14" spans="1:7" x14ac:dyDescent="0.2">
      <c r="A14" s="9" t="s">
        <v>102</v>
      </c>
      <c r="B14" s="35">
        <v>342896</v>
      </c>
      <c r="C14" s="35">
        <v>185199</v>
      </c>
      <c r="D14" s="35">
        <v>139711</v>
      </c>
      <c r="E14" s="35">
        <v>324910</v>
      </c>
      <c r="F14" s="35">
        <v>328091</v>
      </c>
      <c r="G14" s="33">
        <f>IF(AND(F65&lt;&gt;71000,328091&lt;&gt;0),IF(100*328091/(F65-71000)&lt;0.005,"*",100*328091/(F65-71000)),0)</f>
        <v>2.9179201497829688</v>
      </c>
    </row>
    <row r="15" spans="1:7" x14ac:dyDescent="0.2">
      <c r="A15" s="9" t="s">
        <v>103</v>
      </c>
      <c r="B15" s="35">
        <v>452524</v>
      </c>
      <c r="C15" s="35">
        <v>244409</v>
      </c>
      <c r="D15" s="35">
        <v>184379</v>
      </c>
      <c r="E15" s="35">
        <v>428788</v>
      </c>
      <c r="F15" s="35">
        <v>432986</v>
      </c>
      <c r="G15" s="33">
        <f>IF(AND(F65&lt;&gt;71000,432986&lt;&gt;0),IF(100*432986/(F65-71000)&lt;0.005,"*",100*432986/(F65-71000)),0)</f>
        <v>3.85081752920357</v>
      </c>
    </row>
    <row r="16" spans="1:7" x14ac:dyDescent="0.2">
      <c r="A16" s="9" t="s">
        <v>104</v>
      </c>
      <c r="B16" s="35">
        <v>209295</v>
      </c>
      <c r="C16" s="35">
        <v>113041</v>
      </c>
      <c r="D16" s="35">
        <v>85276</v>
      </c>
      <c r="E16" s="35">
        <v>198317</v>
      </c>
      <c r="F16" s="35">
        <v>200258</v>
      </c>
      <c r="G16" s="33">
        <f>IF(AND(F65&lt;&gt;71000,200258&lt;&gt;0),IF(100*200258/(F65-71000)&lt;0.005,"*",100*200258/(F65-71000)),0)</f>
        <v>1.7810206721770416</v>
      </c>
    </row>
    <row r="17" spans="1:7" x14ac:dyDescent="0.2">
      <c r="A17" s="9" t="s">
        <v>105</v>
      </c>
      <c r="B17" s="35">
        <v>72885</v>
      </c>
      <c r="C17" s="35">
        <v>39365</v>
      </c>
      <c r="D17" s="35">
        <v>29697</v>
      </c>
      <c r="E17" s="35">
        <v>69062</v>
      </c>
      <c r="F17" s="35">
        <v>69738</v>
      </c>
      <c r="G17" s="33">
        <f>IF(AND(F65&lt;&gt;71000,69738&lt;&gt;0),IF(100*69738/(F65-71000)&lt;0.005,"*",100*69738/(F65-71000)),0)</f>
        <v>0.62022400920953236</v>
      </c>
    </row>
    <row r="18" spans="1:7" x14ac:dyDescent="0.2">
      <c r="A18" s="9" t="s">
        <v>106</v>
      </c>
      <c r="B18" s="35">
        <v>31611</v>
      </c>
      <c r="C18" s="35">
        <v>17073</v>
      </c>
      <c r="D18" s="35">
        <v>12880</v>
      </c>
      <c r="E18" s="35">
        <v>29953</v>
      </c>
      <c r="F18" s="35">
        <v>30246</v>
      </c>
      <c r="G18" s="33">
        <f>IF(AND(F65&lt;&gt;71000,30246&lt;&gt;0),IF(100*30246/(F65-71000)&lt;0.005,"*",100*30246/(F65-71000)),0)</f>
        <v>0.26899675044525961</v>
      </c>
    </row>
    <row r="19" spans="1:7" x14ac:dyDescent="0.2">
      <c r="A19" s="9" t="s">
        <v>107</v>
      </c>
      <c r="B19" s="35">
        <v>649654</v>
      </c>
      <c r="C19" s="35">
        <v>350880</v>
      </c>
      <c r="D19" s="35">
        <v>264699</v>
      </c>
      <c r="E19" s="35">
        <v>615579</v>
      </c>
      <c r="F19" s="35">
        <v>621604</v>
      </c>
      <c r="G19" s="33">
        <f>IF(AND(F65&lt;&gt;71000,621604&lt;&gt;0),IF(100*621604/(F65-71000)&lt;0.005,"*",100*621604/(F65-71000)),0)</f>
        <v>5.528316341459206</v>
      </c>
    </row>
    <row r="20" spans="1:7" x14ac:dyDescent="0.2">
      <c r="A20" s="9" t="s">
        <v>108</v>
      </c>
      <c r="B20" s="35">
        <v>87238</v>
      </c>
      <c r="C20" s="35">
        <v>47118</v>
      </c>
      <c r="D20" s="35">
        <v>35545</v>
      </c>
      <c r="E20" s="35">
        <v>82663</v>
      </c>
      <c r="F20" s="35">
        <v>83472</v>
      </c>
      <c r="G20" s="33">
        <f>IF(AND(F65&lt;&gt;71000,83472&lt;&gt;0),IF(100*83472/(F65-71000)&lt;0.005,"*",100*83472/(F65-71000)),0)</f>
        <v>0.74236913156009754</v>
      </c>
    </row>
    <row r="21" spans="1:7" x14ac:dyDescent="0.2">
      <c r="A21" s="9" t="s">
        <v>109</v>
      </c>
      <c r="B21" s="35">
        <v>54629</v>
      </c>
      <c r="C21" s="35">
        <v>29505</v>
      </c>
      <c r="D21" s="35">
        <v>22258</v>
      </c>
      <c r="E21" s="35">
        <v>51763</v>
      </c>
      <c r="F21" s="35">
        <v>52270</v>
      </c>
      <c r="G21" s="33">
        <f>IF(AND(F65&lt;&gt;71000,52270&lt;&gt;0),IF(100*52270/(F65-71000)&lt;0.005,"*",100*52270/(F65-71000)),0)</f>
        <v>0.46487007028280503</v>
      </c>
    </row>
    <row r="22" spans="1:7" x14ac:dyDescent="0.2">
      <c r="A22" s="9" t="s">
        <v>110</v>
      </c>
      <c r="B22" s="35">
        <v>37617</v>
      </c>
      <c r="C22" s="35">
        <v>20317</v>
      </c>
      <c r="D22" s="35">
        <v>15327</v>
      </c>
      <c r="E22" s="35">
        <v>35644</v>
      </c>
      <c r="F22" s="35">
        <v>35992</v>
      </c>
      <c r="G22" s="33">
        <f>IF(AND(F65&lt;&gt;71000,35992&lt;&gt;0),IF(100*35992/(F65-71000)&lt;0.005,"*",100*35992/(F65-71000)),0)</f>
        <v>0.32009955174323163</v>
      </c>
    </row>
    <row r="23" spans="1:7" x14ac:dyDescent="0.2">
      <c r="A23" s="9" t="s">
        <v>111</v>
      </c>
      <c r="B23" s="35">
        <v>68543</v>
      </c>
      <c r="C23" s="35">
        <v>37020</v>
      </c>
      <c r="D23" s="35">
        <v>27928</v>
      </c>
      <c r="E23" s="35">
        <v>64948</v>
      </c>
      <c r="F23" s="35">
        <v>65584</v>
      </c>
      <c r="G23" s="33">
        <f>IF(AND(F65&lt;&gt;71000,65584&lt;&gt;0),IF(100*65584/(F65-71000)&lt;0.005,"*",100*65584/(F65-71000)),0)</f>
        <v>0.58327986779084529</v>
      </c>
    </row>
    <row r="24" spans="1:7" x14ac:dyDescent="0.2">
      <c r="A24" s="9" t="s">
        <v>112</v>
      </c>
      <c r="B24" s="35">
        <v>63499</v>
      </c>
      <c r="C24" s="35">
        <v>34296</v>
      </c>
      <c r="D24" s="35">
        <v>25872</v>
      </c>
      <c r="E24" s="35">
        <v>60168</v>
      </c>
      <c r="F24" s="35">
        <v>60757</v>
      </c>
      <c r="G24" s="33">
        <f>IF(AND(F65&lt;&gt;71000,60757&lt;&gt;0),IF(100*60757/(F65-71000)&lt;0.005,"*",100*60757/(F65-71000)),0)</f>
        <v>0.54035031299354086</v>
      </c>
    </row>
    <row r="25" spans="1:7" x14ac:dyDescent="0.2">
      <c r="A25" s="9" t="s">
        <v>113</v>
      </c>
      <c r="B25" s="35">
        <v>47695</v>
      </c>
      <c r="C25" s="35">
        <v>25760</v>
      </c>
      <c r="D25" s="35">
        <v>19433</v>
      </c>
      <c r="E25" s="35">
        <v>45193</v>
      </c>
      <c r="F25" s="35">
        <v>45636</v>
      </c>
      <c r="G25" s="33">
        <f>IF(AND(F65&lt;&gt;71000,45636&lt;&gt;0),IF(100*45636/(F65-71000)&lt;0.005,"*",100*45636/(F65-71000)),0)</f>
        <v>0.40586972503206598</v>
      </c>
    </row>
    <row r="26" spans="1:7" x14ac:dyDescent="0.2">
      <c r="A26" s="9" t="s">
        <v>114</v>
      </c>
      <c r="B26" s="35">
        <v>152007</v>
      </c>
      <c r="C26" s="35">
        <v>82099</v>
      </c>
      <c r="D26" s="35">
        <v>61935</v>
      </c>
      <c r="E26" s="35">
        <v>144034</v>
      </c>
      <c r="F26" s="35">
        <v>145444</v>
      </c>
      <c r="G26" s="33">
        <f>IF(AND(F65&lt;&gt;71000,145444&lt;&gt;0),IF(100*145444/(F65-71000)&lt;0.005,"*",100*145444/(F65-71000)),0)</f>
        <v>1.2935252057052284</v>
      </c>
    </row>
    <row r="27" spans="1:7" x14ac:dyDescent="0.2">
      <c r="A27" s="9" t="s">
        <v>115</v>
      </c>
      <c r="B27" s="35">
        <v>398323</v>
      </c>
      <c r="C27" s="35">
        <v>215135</v>
      </c>
      <c r="D27" s="35">
        <v>162295</v>
      </c>
      <c r="E27" s="35">
        <v>377430</v>
      </c>
      <c r="F27" s="35">
        <v>381125</v>
      </c>
      <c r="G27" s="33">
        <f>IF(AND(F65&lt;&gt;71000,381125&lt;&gt;0),IF(100*381125/(F65-71000)&lt;0.005,"*",100*381125/(F65-71000)),0)</f>
        <v>3.389584953826938</v>
      </c>
    </row>
    <row r="28" spans="1:7" x14ac:dyDescent="0.2">
      <c r="A28" s="9" t="s">
        <v>116</v>
      </c>
      <c r="B28" s="35">
        <v>146546</v>
      </c>
      <c r="C28" s="35">
        <v>79150</v>
      </c>
      <c r="D28" s="35">
        <v>59710</v>
      </c>
      <c r="E28" s="35">
        <v>138860</v>
      </c>
      <c r="F28" s="35">
        <v>140219</v>
      </c>
      <c r="G28" s="33">
        <f>IF(AND(F65&lt;&gt;71000,140219&lt;&gt;0),IF(100*140219/(F65-71000)&lt;0.005,"*",100*140219/(F65-71000)),0)</f>
        <v>1.2470559859381027</v>
      </c>
    </row>
    <row r="29" spans="1:7" x14ac:dyDescent="0.2">
      <c r="A29" s="9" t="s">
        <v>117</v>
      </c>
      <c r="B29" s="35">
        <v>106868</v>
      </c>
      <c r="C29" s="35">
        <v>57720</v>
      </c>
      <c r="D29" s="35">
        <v>43543</v>
      </c>
      <c r="E29" s="35">
        <v>101263</v>
      </c>
      <c r="F29" s="35">
        <v>102254</v>
      </c>
      <c r="G29" s="33">
        <f>IF(AND(F65&lt;&gt;71000,102254&lt;&gt;0),IF(100*102254/(F65-71000)&lt;0.005,"*",100*102254/(F65-71000)),0)</f>
        <v>0.90940930106558149</v>
      </c>
    </row>
    <row r="30" spans="1:7" x14ac:dyDescent="0.2">
      <c r="A30" s="9" t="s">
        <v>118</v>
      </c>
      <c r="B30" s="35">
        <v>30410</v>
      </c>
      <c r="C30" s="35">
        <v>16424</v>
      </c>
      <c r="D30" s="35">
        <v>12390</v>
      </c>
      <c r="E30" s="35">
        <v>28814</v>
      </c>
      <c r="F30" s="35">
        <v>29097</v>
      </c>
      <c r="G30" s="33">
        <f>IF(AND(F65&lt;&gt;71000,29097&lt;&gt;0),IF(100*29097/(F65-71000)&lt;0.005,"*",100*29097/(F65-71000)),0)</f>
        <v>0.25877796891178068</v>
      </c>
    </row>
    <row r="31" spans="1:7" x14ac:dyDescent="0.2">
      <c r="A31" s="9" t="s">
        <v>119</v>
      </c>
      <c r="B31" s="35">
        <v>123406</v>
      </c>
      <c r="C31" s="35">
        <v>66652</v>
      </c>
      <c r="D31" s="35">
        <v>50281</v>
      </c>
      <c r="E31" s="35">
        <v>116933</v>
      </c>
      <c r="F31" s="35">
        <v>118078</v>
      </c>
      <c r="G31" s="33">
        <f>IF(AND(F65&lt;&gt;71000,118078&lt;&gt;0),IF(100*118078/(F65-71000)&lt;0.005,"*",100*118078/(F65-71000)),0)</f>
        <v>1.050142111322997</v>
      </c>
    </row>
    <row r="32" spans="1:7" x14ac:dyDescent="0.2">
      <c r="A32" s="9" t="s">
        <v>120</v>
      </c>
      <c r="B32" s="35">
        <v>20258</v>
      </c>
      <c r="C32" s="35">
        <v>10941</v>
      </c>
      <c r="D32" s="35">
        <v>8254</v>
      </c>
      <c r="E32" s="35">
        <v>19195</v>
      </c>
      <c r="F32" s="35">
        <v>19383</v>
      </c>
      <c r="G32" s="33">
        <f>IF(AND(F65&lt;&gt;71000,19383&lt;&gt;0),IF(100*19383/(F65-71000)&lt;0.005,"*",100*19383/(F65-71000)),0)</f>
        <v>0.17238524148252551</v>
      </c>
    </row>
    <row r="33" spans="1:7" x14ac:dyDescent="0.2">
      <c r="A33" s="9" t="s">
        <v>121</v>
      </c>
      <c r="B33" s="35">
        <v>26142</v>
      </c>
      <c r="C33" s="35">
        <v>14120</v>
      </c>
      <c r="D33" s="35">
        <v>10652</v>
      </c>
      <c r="E33" s="35">
        <v>24772</v>
      </c>
      <c r="F33" s="35">
        <v>25014</v>
      </c>
      <c r="G33" s="33">
        <f>IF(AND(F65&lt;&gt;71000,25014&lt;&gt;0),IF(100*25014/(F65-71000)&lt;0.005,"*",100*25014/(F65-71000)),0)</f>
        <v>0.22246527526409191</v>
      </c>
    </row>
    <row r="34" spans="1:7" x14ac:dyDescent="0.2">
      <c r="A34" s="9" t="s">
        <v>122</v>
      </c>
      <c r="B34" s="35">
        <v>33836</v>
      </c>
      <c r="C34" s="35">
        <v>18275</v>
      </c>
      <c r="D34" s="35">
        <v>13786</v>
      </c>
      <c r="E34" s="35">
        <v>32061</v>
      </c>
      <c r="F34" s="35">
        <v>32375</v>
      </c>
      <c r="G34" s="33">
        <f>IF(AND(F65&lt;&gt;71000,32375&lt;&gt;0),IF(100*32375/(F65-71000)&lt;0.005,"*",100*32375/(F65-71000)),0)</f>
        <v>0.28793128994463002</v>
      </c>
    </row>
    <row r="35" spans="1:7" x14ac:dyDescent="0.2">
      <c r="A35" s="9" t="s">
        <v>123</v>
      </c>
      <c r="B35" s="35">
        <v>20070</v>
      </c>
      <c r="C35" s="35">
        <v>10840</v>
      </c>
      <c r="D35" s="35">
        <v>8177</v>
      </c>
      <c r="E35" s="35">
        <v>19017</v>
      </c>
      <c r="F35" s="35">
        <v>19203</v>
      </c>
      <c r="G35" s="33">
        <f>IF(AND(F65&lt;&gt;71000,19203&lt;&gt;0),IF(100*19203/(F65-71000)&lt;0.005,"*",100*19203/(F65-71000)),0)</f>
        <v>0.17078438797858628</v>
      </c>
    </row>
    <row r="36" spans="1:7" x14ac:dyDescent="0.2">
      <c r="A36" s="9" t="s">
        <v>124</v>
      </c>
      <c r="B36" s="35">
        <v>864933</v>
      </c>
      <c r="C36" s="35">
        <v>467152</v>
      </c>
      <c r="D36" s="35">
        <v>352413</v>
      </c>
      <c r="E36" s="35">
        <v>819565</v>
      </c>
      <c r="F36" s="35">
        <v>827588</v>
      </c>
      <c r="G36" s="33">
        <f>IF(AND(F65&lt;&gt;71000,827588&lt;&gt;0),IF(100*827588/(F65-71000)&lt;0.005,"*",100*827588/(F65-71000)),0)</f>
        <v>7.3602619423226709</v>
      </c>
    </row>
    <row r="37" spans="1:7" x14ac:dyDescent="0.2">
      <c r="A37" s="9" t="s">
        <v>125</v>
      </c>
      <c r="B37" s="35">
        <v>58713</v>
      </c>
      <c r="C37" s="35">
        <v>31711</v>
      </c>
      <c r="D37" s="35">
        <v>23922</v>
      </c>
      <c r="E37" s="35">
        <v>55633</v>
      </c>
      <c r="F37" s="35">
        <v>56178</v>
      </c>
      <c r="G37" s="33">
        <f>IF(AND(F65&lt;&gt;71000,56178&lt;&gt;0),IF(100*56178/(F65-71000)&lt;0.005,"*",100*56178/(F65-71000)),0)</f>
        <v>0.49962637857944175</v>
      </c>
    </row>
    <row r="38" spans="1:7" x14ac:dyDescent="0.2">
      <c r="A38" s="9" t="s">
        <v>126</v>
      </c>
      <c r="B38" s="35">
        <v>2482915</v>
      </c>
      <c r="C38" s="35">
        <v>1341028</v>
      </c>
      <c r="D38" s="35">
        <v>1011653</v>
      </c>
      <c r="E38" s="35">
        <v>2352681</v>
      </c>
      <c r="F38" s="35">
        <v>2375711</v>
      </c>
      <c r="G38" s="33">
        <f>IF(AND(F65&lt;&gt;71000,2375711&lt;&gt;0),IF(100*2375711/(F65-71000)&lt;0.005,"*",100*2375711/(F65-71000)),0)</f>
        <v>21.128695992761298</v>
      </c>
    </row>
    <row r="39" spans="1:7" x14ac:dyDescent="0.2">
      <c r="A39" s="9" t="s">
        <v>127</v>
      </c>
      <c r="B39" s="35">
        <v>137044</v>
      </c>
      <c r="C39" s="35">
        <v>74018</v>
      </c>
      <c r="D39" s="35">
        <v>55838</v>
      </c>
      <c r="E39" s="35">
        <v>129856</v>
      </c>
      <c r="F39" s="35">
        <v>131127</v>
      </c>
      <c r="G39" s="33">
        <f>IF(AND(F65&lt;&gt;71000,131127&lt;&gt;0),IF(100*131127/(F65-71000)&lt;0.005,"*",100*131127/(F65-71000)),0)</f>
        <v>1.1661950967280155</v>
      </c>
    </row>
    <row r="40" spans="1:7" x14ac:dyDescent="0.2">
      <c r="A40" s="9" t="s">
        <v>128</v>
      </c>
      <c r="B40" s="35">
        <v>20235</v>
      </c>
      <c r="C40" s="35">
        <v>10929</v>
      </c>
      <c r="D40" s="35">
        <v>8245</v>
      </c>
      <c r="E40" s="35">
        <v>19174</v>
      </c>
      <c r="F40" s="35">
        <v>19362</v>
      </c>
      <c r="G40" s="33">
        <f>IF(AND(F65&lt;&gt;71000,19362&lt;&gt;0),IF(100*19362/(F65-71000)&lt;0.005,"*",100*19362/(F65-71000)),0)</f>
        <v>0.17219847524039927</v>
      </c>
    </row>
    <row r="41" spans="1:7" x14ac:dyDescent="0.2">
      <c r="A41" s="9" t="s">
        <v>129</v>
      </c>
      <c r="B41" s="35">
        <v>250709</v>
      </c>
      <c r="C41" s="35">
        <v>135409</v>
      </c>
      <c r="D41" s="35">
        <v>102150</v>
      </c>
      <c r="E41" s="35">
        <v>237559</v>
      </c>
      <c r="F41" s="35">
        <v>239885</v>
      </c>
      <c r="G41" s="33">
        <f>IF(AND(F65&lt;&gt;71000,239885&lt;&gt;0),IF(100*239885/(F65-71000)&lt;0.005,"*",100*239885/(F65-71000)),0)</f>
        <v>2.1334485710692688</v>
      </c>
    </row>
    <row r="42" spans="1:7" x14ac:dyDescent="0.2">
      <c r="A42" s="9" t="s">
        <v>130</v>
      </c>
      <c r="B42" s="35">
        <v>60951</v>
      </c>
      <c r="C42" s="35">
        <v>32920</v>
      </c>
      <c r="D42" s="35">
        <v>24834</v>
      </c>
      <c r="E42" s="35">
        <v>57754</v>
      </c>
      <c r="F42" s="35">
        <v>58319</v>
      </c>
      <c r="G42" s="33">
        <f>IF(AND(F65&lt;&gt;71000,58319&lt;&gt;0),IF(100*58319/(F65-71000)&lt;0.005,"*",100*58319/(F65-71000)),0)</f>
        <v>0.51866764164574142</v>
      </c>
    </row>
    <row r="43" spans="1:7" x14ac:dyDescent="0.2">
      <c r="A43" s="9" t="s">
        <v>131</v>
      </c>
      <c r="B43" s="35">
        <v>113628</v>
      </c>
      <c r="C43" s="35">
        <v>61371</v>
      </c>
      <c r="D43" s="35">
        <v>46297</v>
      </c>
      <c r="E43" s="35">
        <v>107668</v>
      </c>
      <c r="F43" s="35">
        <v>108722</v>
      </c>
      <c r="G43" s="33">
        <f>IF(AND(F65&lt;&gt;71000,108722&lt;&gt;0),IF(100*108722/(F65-71000)&lt;0.005,"*",100*108722/(F65-71000)),0)</f>
        <v>0.96693330364046537</v>
      </c>
    </row>
    <row r="44" spans="1:7" x14ac:dyDescent="0.2">
      <c r="A44" s="9" t="s">
        <v>132</v>
      </c>
      <c r="B44" s="35">
        <v>494040</v>
      </c>
      <c r="C44" s="35">
        <v>266832</v>
      </c>
      <c r="D44" s="35">
        <v>201294</v>
      </c>
      <c r="E44" s="35">
        <v>468126</v>
      </c>
      <c r="F44" s="35">
        <v>472709</v>
      </c>
      <c r="G44" s="33">
        <f>IF(AND(F65&lt;&gt;71000,472709&lt;&gt;0),IF(100*472709/(F65-71000)&lt;0.005,"*",100*472709/(F65-71000)),0)</f>
        <v>4.2040992166312314</v>
      </c>
    </row>
    <row r="45" spans="1:7" x14ac:dyDescent="0.2">
      <c r="A45" s="9" t="s">
        <v>133</v>
      </c>
      <c r="B45" s="35">
        <v>47577</v>
      </c>
      <c r="C45" s="35">
        <v>25697</v>
      </c>
      <c r="D45" s="35">
        <v>19385</v>
      </c>
      <c r="E45" s="35">
        <v>45082</v>
      </c>
      <c r="F45" s="35">
        <v>45523</v>
      </c>
      <c r="G45" s="33">
        <f>IF(AND(F65&lt;&gt;71000,45523&lt;&gt;0),IF(100*45523/(F65-71000)&lt;0.005,"*",100*45523/(F65-71000)),0)</f>
        <v>0.40486474477681522</v>
      </c>
    </row>
    <row r="46" spans="1:7" x14ac:dyDescent="0.2">
      <c r="A46" s="9" t="s">
        <v>134</v>
      </c>
      <c r="B46" s="35">
        <v>76674</v>
      </c>
      <c r="C46" s="35">
        <v>41412</v>
      </c>
      <c r="D46" s="35">
        <v>31240</v>
      </c>
      <c r="E46" s="35">
        <v>72652</v>
      </c>
      <c r="F46" s="35">
        <v>73363</v>
      </c>
      <c r="G46" s="33">
        <f>IF(AND(F65&lt;&gt;71000,73363&lt;&gt;0),IF(100*73363/(F65-71000)&lt;0.005,"*",100*73363/(F65-71000)),0)</f>
        <v>0.65246342005275348</v>
      </c>
    </row>
    <row r="47" spans="1:7" x14ac:dyDescent="0.2">
      <c r="A47" s="9" t="s">
        <v>135</v>
      </c>
      <c r="B47" s="35">
        <v>16977</v>
      </c>
      <c r="C47" s="35">
        <v>9169</v>
      </c>
      <c r="D47" s="35">
        <v>6917</v>
      </c>
      <c r="E47" s="35">
        <v>16086</v>
      </c>
      <c r="F47" s="35">
        <v>16244</v>
      </c>
      <c r="G47" s="33">
        <f>IF(AND(F65&lt;&gt;71000,16244&lt;&gt;0),IF(100*16244/(F65-71000)&lt;0.005,"*",100*16244/(F65-71000)),0)</f>
        <v>0.14446813509994039</v>
      </c>
    </row>
    <row r="48" spans="1:7" x14ac:dyDescent="0.2">
      <c r="A48" s="9" t="s">
        <v>136</v>
      </c>
      <c r="B48" s="35">
        <v>120731</v>
      </c>
      <c r="C48" s="35">
        <v>65207</v>
      </c>
      <c r="D48" s="35">
        <v>49191</v>
      </c>
      <c r="E48" s="35">
        <v>114398</v>
      </c>
      <c r="F48" s="35">
        <v>115518</v>
      </c>
      <c r="G48" s="33">
        <f>IF(AND(F65&lt;&gt;71000,115518&lt;&gt;0),IF(100*115518/(F65-71000)&lt;0.005,"*",100*115518/(F65-71000)),0)</f>
        <v>1.0273744170447496</v>
      </c>
    </row>
    <row r="49" spans="1:7" x14ac:dyDescent="0.2">
      <c r="A49" s="9" t="s">
        <v>137</v>
      </c>
      <c r="B49" s="35">
        <v>514037</v>
      </c>
      <c r="C49" s="35">
        <v>277632</v>
      </c>
      <c r="D49" s="35">
        <v>209442</v>
      </c>
      <c r="E49" s="35">
        <v>487074</v>
      </c>
      <c r="F49" s="35">
        <v>491842</v>
      </c>
      <c r="G49" s="33">
        <f>IF(AND(F65&lt;&gt;71000,491842&lt;&gt;0),IF(100*491842/(F65-71000)&lt;0.005,"*",100*491842/(F65-71000)),0)</f>
        <v>4.3742610504693973</v>
      </c>
    </row>
    <row r="50" spans="1:7" x14ac:dyDescent="0.2">
      <c r="A50" s="9" t="s">
        <v>138</v>
      </c>
      <c r="B50" s="35">
        <v>107856</v>
      </c>
      <c r="C50" s="35">
        <v>58253</v>
      </c>
      <c r="D50" s="35">
        <v>43945</v>
      </c>
      <c r="E50" s="35">
        <v>102198</v>
      </c>
      <c r="F50" s="35">
        <v>103199</v>
      </c>
      <c r="G50" s="33">
        <f>IF(AND(F65&lt;&gt;71000,103199&lt;&gt;0),IF(100*103199/(F65-71000)&lt;0.005,"*",100*103199/(F65-71000)),0)</f>
        <v>0.91781378196126251</v>
      </c>
    </row>
    <row r="51" spans="1:7" x14ac:dyDescent="0.2">
      <c r="A51" s="9" t="s">
        <v>139</v>
      </c>
      <c r="B51" s="35">
        <v>28013</v>
      </c>
      <c r="C51" s="35">
        <v>15130</v>
      </c>
      <c r="D51" s="35">
        <v>11414</v>
      </c>
      <c r="E51" s="35">
        <v>26544</v>
      </c>
      <c r="F51" s="35">
        <v>26804</v>
      </c>
      <c r="G51" s="33">
        <f>IF(AND(F65&lt;&gt;71000,26804&lt;&gt;0),IF(100*26804/(F65-71000)&lt;0.005,"*",100*26804/(F65-71000)),0)</f>
        <v>0.23838487399771008</v>
      </c>
    </row>
    <row r="52" spans="1:7" x14ac:dyDescent="0.2">
      <c r="A52" s="9" t="s">
        <v>140</v>
      </c>
      <c r="B52" s="35">
        <v>159496</v>
      </c>
      <c r="C52" s="35">
        <v>86144</v>
      </c>
      <c r="D52" s="35">
        <v>64986</v>
      </c>
      <c r="E52" s="35">
        <v>151130</v>
      </c>
      <c r="F52" s="35">
        <v>152610</v>
      </c>
      <c r="G52" s="33">
        <f>IF(AND(F65&lt;&gt;71000,152610&lt;&gt;0),IF(100*152610/(F65-71000)&lt;0.005,"*",100*152610/(F65-71000)),0)</f>
        <v>1.3572569624231656</v>
      </c>
    </row>
    <row r="53" spans="1:7" x14ac:dyDescent="0.2">
      <c r="A53" s="9" t="s">
        <v>141</v>
      </c>
      <c r="B53" s="35">
        <v>217433</v>
      </c>
      <c r="C53" s="35">
        <v>117436</v>
      </c>
      <c r="D53" s="35">
        <v>88592</v>
      </c>
      <c r="E53" s="35">
        <v>206028</v>
      </c>
      <c r="F53" s="35">
        <v>208045</v>
      </c>
      <c r="G53" s="33">
        <f>IF(AND(F65&lt;&gt;71000,208045&lt;&gt;0),IF(100*208045/(F65-71000)&lt;0.005,"*",100*208045/(F65-71000)),0)</f>
        <v>1.8502753734835693</v>
      </c>
    </row>
    <row r="54" spans="1:7" x14ac:dyDescent="0.2">
      <c r="A54" s="9" t="s">
        <v>142</v>
      </c>
      <c r="B54" s="35">
        <v>23667</v>
      </c>
      <c r="C54" s="35">
        <v>12783</v>
      </c>
      <c r="D54" s="35">
        <v>9643</v>
      </c>
      <c r="E54" s="35">
        <v>22426</v>
      </c>
      <c r="F54" s="35">
        <v>22645</v>
      </c>
      <c r="G54" s="33">
        <f>IF(AND(F65&lt;&gt;71000,22645&lt;&gt;0),IF(100*22645/(F65-71000)&lt;0.005,"*",100*22645/(F65-71000)),0)</f>
        <v>0.20139626442613581</v>
      </c>
    </row>
    <row r="55" spans="1:7" x14ac:dyDescent="0.2">
      <c r="A55" s="9" t="s">
        <v>143</v>
      </c>
      <c r="B55" s="35">
        <v>68648</v>
      </c>
      <c r="C55" s="35">
        <v>37077</v>
      </c>
      <c r="D55" s="35">
        <v>27970</v>
      </c>
      <c r="E55" s="35">
        <v>65047</v>
      </c>
      <c r="F55" s="35">
        <v>65684</v>
      </c>
      <c r="G55" s="33">
        <f>IF(AND(F65&lt;&gt;71000,65684&lt;&gt;0),IF(100*65684/(F65-71000)&lt;0.005,"*",100*65684/(F65-71000)),0)</f>
        <v>0.58416923084858929</v>
      </c>
    </row>
    <row r="56" spans="1:7" x14ac:dyDescent="0.2">
      <c r="A56" s="9" t="s">
        <v>144</v>
      </c>
      <c r="B56" s="35">
        <v>14649</v>
      </c>
      <c r="C56" s="35">
        <v>7912</v>
      </c>
      <c r="D56" s="35">
        <v>5969</v>
      </c>
      <c r="E56" s="35">
        <v>13881</v>
      </c>
      <c r="F56" s="35">
        <v>14016</v>
      </c>
      <c r="G56" s="33">
        <f>IF(AND(F65&lt;&gt;71000,14016&lt;&gt;0),IF(100*14016/(F65-71000)&lt;0.005,"*",100*14016/(F65-71000)),0)</f>
        <v>0.12465312617340338</v>
      </c>
    </row>
    <row r="57" spans="1:7" x14ac:dyDescent="0.2">
      <c r="A57" s="9" t="s">
        <v>145</v>
      </c>
      <c r="B57" s="35">
        <v>1670</v>
      </c>
      <c r="C57" s="35">
        <v>902</v>
      </c>
      <c r="D57" s="35">
        <v>680</v>
      </c>
      <c r="E57" s="35">
        <v>1582</v>
      </c>
      <c r="F57" s="35">
        <v>1597</v>
      </c>
      <c r="G57" s="33">
        <f>IF(AND(F65&lt;&gt;71000,1597&lt;&gt;0),IF(100*1597/(F65-71000)&lt;0.005,"*",100*1597/(F65-71000)),0)</f>
        <v>1.4203128032172175E-2</v>
      </c>
    </row>
    <row r="58" spans="1:7" x14ac:dyDescent="0.2">
      <c r="A58" s="9" t="s">
        <v>146</v>
      </c>
      <c r="B58" s="35">
        <v>0</v>
      </c>
      <c r="C58" s="35">
        <v>0</v>
      </c>
      <c r="D58" s="35">
        <v>0</v>
      </c>
      <c r="E58" s="35">
        <v>0</v>
      </c>
      <c r="F58" s="35">
        <v>0</v>
      </c>
      <c r="G58" s="33">
        <f>IF(AND(F65&lt;&gt;71000,0&lt;&gt;0),IF(100*0/(F65-71000)&lt;0.005,"*",100*0/(F65-71000)),0)</f>
        <v>0</v>
      </c>
    </row>
    <row r="59" spans="1:7" x14ac:dyDescent="0.2">
      <c r="A59" s="9" t="s">
        <v>147</v>
      </c>
      <c r="B59" s="35">
        <v>826</v>
      </c>
      <c r="C59" s="35">
        <v>446</v>
      </c>
      <c r="D59" s="35">
        <v>337</v>
      </c>
      <c r="E59" s="35">
        <v>783</v>
      </c>
      <c r="F59" s="35">
        <v>790</v>
      </c>
      <c r="G59" s="33">
        <f>IF(AND(F65&lt;&gt;71000,790&lt;&gt;0),IF(100*790/(F65-71000)&lt;0.005,"*",100*790/(F65-71000)),0)</f>
        <v>7.0259681561778446E-3</v>
      </c>
    </row>
    <row r="60" spans="1:7" x14ac:dyDescent="0.2">
      <c r="A60" s="9" t="s">
        <v>148</v>
      </c>
      <c r="B60" s="35">
        <v>81490</v>
      </c>
      <c r="C60" s="35">
        <v>44013</v>
      </c>
      <c r="D60" s="35">
        <v>33203</v>
      </c>
      <c r="E60" s="35">
        <v>77216</v>
      </c>
      <c r="F60" s="35">
        <v>77971</v>
      </c>
      <c r="G60" s="33">
        <f>IF(AND(F65&lt;&gt;71000,77971&lt;&gt;0),IF(100*77971/(F65-71000)&lt;0.005,"*",100*77971/(F65-71000)),0)</f>
        <v>0.69344526975359844</v>
      </c>
    </row>
    <row r="61" spans="1:7" x14ac:dyDescent="0.2">
      <c r="A61" s="9" t="s">
        <v>149</v>
      </c>
      <c r="B61" s="35">
        <v>0</v>
      </c>
      <c r="C61" s="35">
        <v>0</v>
      </c>
      <c r="D61" s="35">
        <v>0</v>
      </c>
      <c r="E61" s="35">
        <v>0</v>
      </c>
      <c r="F61" s="35">
        <v>0</v>
      </c>
      <c r="G61" s="33">
        <f>IF(AND(F65&lt;&gt;71000,0&lt;&gt;0),IF(100*0/(F65-71000)&lt;0.005,"*",100*0/(F65-71000)),0)</f>
        <v>0</v>
      </c>
    </row>
    <row r="62" spans="1:7" x14ac:dyDescent="0.2">
      <c r="A62" s="9" t="s">
        <v>150</v>
      </c>
      <c r="B62" s="35">
        <v>0</v>
      </c>
      <c r="C62" s="35">
        <v>0</v>
      </c>
      <c r="D62" s="35">
        <v>0</v>
      </c>
      <c r="E62" s="35">
        <v>0</v>
      </c>
      <c r="F62" s="35">
        <v>0</v>
      </c>
      <c r="G62" s="33">
        <f>IF(AND(F65&lt;&gt;71000,0&lt;&gt;0),IF(100*0/(F65-71000)&lt;0.005,"*",100*0/(F65-71000)),0)</f>
        <v>0</v>
      </c>
    </row>
    <row r="63" spans="1:7" x14ac:dyDescent="0.2">
      <c r="A63" s="9" t="s">
        <v>151</v>
      </c>
      <c r="B63" s="35">
        <v>0</v>
      </c>
      <c r="C63" s="35">
        <v>0</v>
      </c>
      <c r="D63" s="35">
        <v>0</v>
      </c>
      <c r="E63" s="35">
        <v>0</v>
      </c>
      <c r="F63" s="35">
        <v>0</v>
      </c>
      <c r="G63" s="33">
        <f>IF(AND(F65&lt;&gt;71000,0&lt;&gt;0),IF(100*0/(F65-71000)&lt;0.005,"*",100*0/(F65-71000)),0)</f>
        <v>0</v>
      </c>
    </row>
    <row r="64" spans="1:7" ht="15" x14ac:dyDescent="0.2">
      <c r="A64" s="9" t="s">
        <v>152</v>
      </c>
      <c r="B64" s="34" t="s">
        <v>395</v>
      </c>
      <c r="C64" s="34" t="s">
        <v>394</v>
      </c>
      <c r="D64" s="34" t="s">
        <v>393</v>
      </c>
      <c r="E64" s="35">
        <v>68000</v>
      </c>
      <c r="F64" s="34" t="s">
        <v>392</v>
      </c>
      <c r="G64" s="33">
        <v>0</v>
      </c>
    </row>
    <row r="65" spans="1:7" ht="15" customHeight="1" x14ac:dyDescent="0.2">
      <c r="A65" s="32" t="s">
        <v>93</v>
      </c>
      <c r="B65" s="31">
        <f>42595+66527+221679+15263+1791190+151095+301879+22296+342896+452524+209295+72885+31611+649654+87238+54629+37617+68543+63499+47695+152007+398323+146546+106868+30410+123406+20258+26142+33836+20070+864933+58713+2482915+137044+20235+250709+60951+113628+494040+47577+76674+16977+120731+514037+107856+28013+159496+217433+23667+68648+14649+1670+0+826+81490+0+0+0+64357+0</f>
        <v>11815745</v>
      </c>
      <c r="C65" s="31">
        <f>23006+35932+119730+8243+967425+81607+163045+12042+185199+244409+113041+39365+17073+350880+47118+29505+20317+37020+34296+25760+82099+215135+79150+57720+16424+66652+10941+14120+18275+10840+467152+31711+1341028+74018+10929+135409+32920+61371+266832+25697+41412+9169+65207+277632+58253+15130+86144+117436+12783+37077+7912+902+0+446+44013+0+0+0+38760+0</f>
        <v>6385712</v>
      </c>
      <c r="D65" s="31">
        <f>17355+27106+90322+6219+729812+61563+122999+9084+139711+184379+85276+29697+12880+264699+35545+22258+15327+27928+25872+19433+61935+162295+59710+43543+12390+50281+8254+10652+13786+8177+352413+23922+1011653+55838+8245+102150+24834+46297+201294+19385+31240+6917+49191+209442+43945+11414+64986+88592+9643+27970+5969+680+0+337+33203+0+0+0+29240+0</f>
        <v>4817288</v>
      </c>
      <c r="E65" s="31">
        <f>SUM(C65:D65)</f>
        <v>11203000</v>
      </c>
      <c r="F65" s="31">
        <f>40756+63655+212108+14604+1713852+144571+288845+21333+328091+432986+200258+69738+30246+621604+83472+52270+35992+65584+60757+45636+145444+381125+140219+102254+29097+118078+19383+25014+32375+19203+827588+56178+2375711+131127+19362+239885+58319+108722+472709+45523+73363+16244+115518+491842+103199+26804+152610+208045+22645+65684+14016+1597+0+790+77971+0+0+0+71000+0</f>
        <v>11315002</v>
      </c>
      <c r="G65" s="30" t="s">
        <v>338</v>
      </c>
    </row>
    <row r="66" spans="1:7" ht="15" customHeight="1" x14ac:dyDescent="0.2">
      <c r="A66" s="66" t="s">
        <v>391</v>
      </c>
      <c r="B66" s="66"/>
      <c r="C66" s="66"/>
      <c r="D66" s="66"/>
      <c r="E66" s="66"/>
      <c r="F66" s="66"/>
      <c r="G66" s="66"/>
    </row>
    <row r="67" spans="1:7" ht="15" customHeight="1" x14ac:dyDescent="0.2">
      <c r="A67" s="66" t="s">
        <v>390</v>
      </c>
      <c r="B67" s="66"/>
      <c r="C67" s="66"/>
      <c r="D67" s="66"/>
      <c r="E67" s="66"/>
      <c r="F67" s="66"/>
      <c r="G67" s="66"/>
    </row>
    <row r="68" spans="1:7" ht="15" customHeight="1" x14ac:dyDescent="0.2">
      <c r="A68" s="66" t="s">
        <v>389</v>
      </c>
      <c r="B68" s="66"/>
      <c r="C68" s="66"/>
      <c r="D68" s="66"/>
      <c r="E68" s="66"/>
      <c r="F68" s="66"/>
      <c r="G68" s="66"/>
    </row>
    <row r="69" spans="1:7" ht="15" customHeight="1" x14ac:dyDescent="0.2">
      <c r="A69" s="66" t="s">
        <v>388</v>
      </c>
      <c r="B69" s="66"/>
      <c r="C69" s="66"/>
      <c r="D69" s="66"/>
      <c r="E69" s="66"/>
      <c r="F69" s="66"/>
      <c r="G69" s="66"/>
    </row>
    <row r="70" spans="1:7" ht="15" customHeight="1" x14ac:dyDescent="0.2">
      <c r="A70" s="66" t="s">
        <v>342</v>
      </c>
      <c r="B70" s="66"/>
      <c r="C70" s="66"/>
      <c r="D70" s="66"/>
      <c r="E70" s="66"/>
      <c r="F70" s="66"/>
      <c r="G70" s="66"/>
    </row>
  </sheetData>
  <mergeCells count="9">
    <mergeCell ref="A67:G67"/>
    <mergeCell ref="A68:G68"/>
    <mergeCell ref="A69:G69"/>
    <mergeCell ref="A70:G70"/>
    <mergeCell ref="A4:A5"/>
    <mergeCell ref="B4:B5"/>
    <mergeCell ref="F4:F5"/>
    <mergeCell ref="G4:G5"/>
    <mergeCell ref="A66:G66"/>
  </mergeCells>
  <pageMargins left="0.7" right="0.7" top="0.75" bottom="0.75" header="0.3" footer="0.3"/>
  <pageSetup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workbookViewId="0"/>
  </sheetViews>
  <sheetFormatPr defaultRowHeight="12.75" x14ac:dyDescent="0.2"/>
  <cols>
    <col min="1" max="1" width="30.7109375" customWidth="1"/>
    <col min="2" max="7" width="11.7109375" customWidth="1"/>
  </cols>
  <sheetData>
    <row r="1" spans="1:7" ht="38.25" customHeight="1" x14ac:dyDescent="0.2">
      <c r="A1" s="10" t="s">
        <v>322</v>
      </c>
      <c r="B1" s="8"/>
      <c r="C1" s="8"/>
      <c r="D1" s="8"/>
      <c r="E1" s="8"/>
      <c r="F1" s="8"/>
      <c r="G1" s="10" t="s">
        <v>323</v>
      </c>
    </row>
    <row r="2" spans="1:7" x14ac:dyDescent="0.2">
      <c r="A2" s="11" t="s">
        <v>324</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18098</v>
      </c>
      <c r="C6" s="15">
        <v>557</v>
      </c>
      <c r="D6" s="15">
        <v>17994</v>
      </c>
      <c r="E6" s="15">
        <v>18551</v>
      </c>
      <c r="F6" s="15">
        <v>12174</v>
      </c>
      <c r="G6" s="16">
        <f>IF(AND(F67&lt;&gt;0,12174&lt;&gt;0),IF(100*12174/(F67-0)&lt;0.005,"*",100*12174/(F67-0)),0)</f>
        <v>1.0871856056411484</v>
      </c>
    </row>
    <row r="7" spans="1:7" x14ac:dyDescent="0.2">
      <c r="A7" s="9" t="s">
        <v>95</v>
      </c>
      <c r="B7" s="15">
        <v>9703</v>
      </c>
      <c r="C7" s="15">
        <v>298</v>
      </c>
      <c r="D7" s="15">
        <v>9631</v>
      </c>
      <c r="E7" s="15">
        <v>9929</v>
      </c>
      <c r="F7" s="15">
        <v>6516</v>
      </c>
      <c r="G7" s="16">
        <f>IF(AND(F67&lt;&gt;0,6516&lt;&gt;0),IF(100*6516/(F67-0)&lt;0.005,"*",100*6516/(F67-0)),0)</f>
        <v>0.58190417334957478</v>
      </c>
    </row>
    <row r="8" spans="1:7" x14ac:dyDescent="0.2">
      <c r="A8" s="9" t="s">
        <v>96</v>
      </c>
      <c r="B8" s="15">
        <v>18166</v>
      </c>
      <c r="C8" s="15">
        <v>336</v>
      </c>
      <c r="D8" s="15">
        <v>10869</v>
      </c>
      <c r="E8" s="15">
        <v>11205</v>
      </c>
      <c r="F8" s="15">
        <v>7354</v>
      </c>
      <c r="G8" s="16">
        <f>IF(AND(F67&lt;&gt;0,7354&lt;&gt;0),IF(100*7354/(F67-0)&lt;0.005,"*",100*7354/(F67-0)),0)</f>
        <v>0.65674083652743598</v>
      </c>
    </row>
    <row r="9" spans="1:7" x14ac:dyDescent="0.2">
      <c r="A9" s="9" t="s">
        <v>97</v>
      </c>
      <c r="B9" s="15">
        <v>10606</v>
      </c>
      <c r="C9" s="15">
        <v>326</v>
      </c>
      <c r="D9" s="15">
        <v>10527</v>
      </c>
      <c r="E9" s="15">
        <v>10853</v>
      </c>
      <c r="F9" s="15">
        <v>7122</v>
      </c>
      <c r="G9" s="16">
        <f>IF(AND(F67&lt;&gt;0,7122&lt;&gt;0),IF(100*7122/(F67-0)&lt;0.005,"*",100*7122/(F67-0)),0)</f>
        <v>0.63602233311781331</v>
      </c>
    </row>
    <row r="10" spans="1:7" x14ac:dyDescent="0.2">
      <c r="A10" s="9" t="s">
        <v>98</v>
      </c>
      <c r="B10" s="15">
        <v>119067</v>
      </c>
      <c r="C10" s="15">
        <v>3560</v>
      </c>
      <c r="D10" s="15">
        <v>115092</v>
      </c>
      <c r="E10" s="15">
        <v>118652</v>
      </c>
      <c r="F10" s="15">
        <v>77868</v>
      </c>
      <c r="G10" s="16">
        <f>IF(AND(F67&lt;&gt;0,77868&lt;&gt;0),IF(100*77868/(F67-0)&lt;0.005,"*",100*77868/(F67-0)),0)</f>
        <v>6.9539156185366311</v>
      </c>
    </row>
    <row r="11" spans="1:7" x14ac:dyDescent="0.2">
      <c r="A11" s="9" t="s">
        <v>99</v>
      </c>
      <c r="B11" s="15">
        <v>12969</v>
      </c>
      <c r="C11" s="15">
        <v>398</v>
      </c>
      <c r="D11" s="15">
        <v>12872</v>
      </c>
      <c r="E11" s="15">
        <v>13270</v>
      </c>
      <c r="F11" s="15">
        <v>8709</v>
      </c>
      <c r="G11" s="16">
        <f>IF(AND(F67&lt;&gt;0,8709&lt;&gt;0),IF(100*8709/(F67-0)&lt;0.005,"*",100*8709/(F67-0)),0)</f>
        <v>0.77774761290691319</v>
      </c>
    </row>
    <row r="12" spans="1:7" x14ac:dyDescent="0.2">
      <c r="A12" s="9" t="s">
        <v>100</v>
      </c>
      <c r="B12" s="15">
        <v>19862</v>
      </c>
      <c r="C12" s="15">
        <v>610</v>
      </c>
      <c r="D12" s="15">
        <v>19714</v>
      </c>
      <c r="E12" s="15">
        <v>20324</v>
      </c>
      <c r="F12" s="15">
        <v>13338</v>
      </c>
      <c r="G12" s="16">
        <f>IF(AND(F67&lt;&gt;0,13338&lt;&gt;0),IF(100*13338/(F67-0)&lt;0.005,"*",100*13338/(F67-0)),0)</f>
        <v>1.1911353382652896</v>
      </c>
    </row>
    <row r="13" spans="1:7" x14ac:dyDescent="0.2">
      <c r="A13" s="9" t="s">
        <v>101</v>
      </c>
      <c r="B13" s="15">
        <v>7959</v>
      </c>
      <c r="C13" s="15">
        <v>244</v>
      </c>
      <c r="D13" s="15">
        <v>7900</v>
      </c>
      <c r="E13" s="15">
        <v>8144</v>
      </c>
      <c r="F13" s="15">
        <v>5345</v>
      </c>
      <c r="G13" s="16">
        <f>IF(AND(F67&lt;&gt;0,5345&lt;&gt;0),IF(100*5345/(F67-0)&lt;0.005,"*",100*5345/(F67-0)),0)</f>
        <v>0.47732931346738444</v>
      </c>
    </row>
    <row r="14" spans="1:7" x14ac:dyDescent="0.2">
      <c r="A14" s="9" t="s">
        <v>102</v>
      </c>
      <c r="B14" s="15">
        <v>7959</v>
      </c>
      <c r="C14" s="15">
        <v>244</v>
      </c>
      <c r="D14" s="15">
        <v>7900</v>
      </c>
      <c r="E14" s="15">
        <v>8144</v>
      </c>
      <c r="F14" s="15">
        <v>5345</v>
      </c>
      <c r="G14" s="16">
        <f>IF(AND(F67&lt;&gt;0,5345&lt;&gt;0),IF(100*5345/(F67-0)&lt;0.005,"*",100*5345/(F67-0)),0)</f>
        <v>0.47732931346738444</v>
      </c>
    </row>
    <row r="15" spans="1:7" x14ac:dyDescent="0.2">
      <c r="A15" s="9" t="s">
        <v>103</v>
      </c>
      <c r="B15" s="15">
        <v>54726</v>
      </c>
      <c r="C15" s="15">
        <v>1680</v>
      </c>
      <c r="D15" s="15">
        <v>54320</v>
      </c>
      <c r="E15" s="15">
        <v>56000</v>
      </c>
      <c r="F15" s="15">
        <v>36752</v>
      </c>
      <c r="G15" s="16">
        <f>IF(AND(F67&lt;&gt;0,36752&lt;&gt;0),IF(100*36752/(F67-0)&lt;0.005,"*",100*36752/(F67-0)),0)</f>
        <v>3.2820967125450538</v>
      </c>
    </row>
    <row r="16" spans="1:7" x14ac:dyDescent="0.2">
      <c r="A16" s="9" t="s">
        <v>104</v>
      </c>
      <c r="B16" s="15">
        <v>27367</v>
      </c>
      <c r="C16" s="15">
        <v>842</v>
      </c>
      <c r="D16" s="15">
        <v>27209</v>
      </c>
      <c r="E16" s="15">
        <v>28051</v>
      </c>
      <c r="F16" s="15">
        <v>18409</v>
      </c>
      <c r="G16" s="16">
        <f>IF(AND(F67&lt;&gt;0,18409&lt;&gt;0),IF(100*18409/(F67-0)&lt;0.005,"*",100*18409/(F67-0)),0)</f>
        <v>1.6439953847747577</v>
      </c>
    </row>
    <row r="17" spans="1:7" x14ac:dyDescent="0.2">
      <c r="A17" s="9" t="s">
        <v>105</v>
      </c>
      <c r="B17" s="15">
        <v>12831</v>
      </c>
      <c r="C17" s="15">
        <v>385</v>
      </c>
      <c r="D17" s="15">
        <v>12464</v>
      </c>
      <c r="E17" s="15">
        <v>12849</v>
      </c>
      <c r="F17" s="15">
        <v>8432</v>
      </c>
      <c r="G17" s="16">
        <f>IF(AND(F67&lt;&gt;0,8432&lt;&gt;0),IF(100*8432/(F67-0)&lt;0.005,"*",100*8432/(F67-0)),0)</f>
        <v>0.75301043426697578</v>
      </c>
    </row>
    <row r="18" spans="1:7" x14ac:dyDescent="0.2">
      <c r="A18" s="9" t="s">
        <v>106</v>
      </c>
      <c r="B18" s="15">
        <v>7959</v>
      </c>
      <c r="C18" s="15">
        <v>244</v>
      </c>
      <c r="D18" s="15">
        <v>7900</v>
      </c>
      <c r="E18" s="15">
        <v>8144</v>
      </c>
      <c r="F18" s="15">
        <v>5345</v>
      </c>
      <c r="G18" s="16">
        <f>IF(AND(F67&lt;&gt;0,5345&lt;&gt;0),IF(100*5345/(F67-0)&lt;0.005,"*",100*5345/(F67-0)),0)</f>
        <v>0.47732931346738444</v>
      </c>
    </row>
    <row r="19" spans="1:7" x14ac:dyDescent="0.2">
      <c r="A19" s="9" t="s">
        <v>107</v>
      </c>
      <c r="B19" s="15">
        <v>73389</v>
      </c>
      <c r="C19" s="15">
        <v>2251</v>
      </c>
      <c r="D19" s="15">
        <v>72781</v>
      </c>
      <c r="E19" s="15">
        <v>75032</v>
      </c>
      <c r="F19" s="15">
        <v>49241</v>
      </c>
      <c r="G19" s="16">
        <f>IF(AND(F67&lt;&gt;0,49241&lt;&gt;0),IF(100*49241/(F67-0)&lt;0.005,"*",100*49241/(F67-0)),0)</f>
        <v>4.3974130447984052</v>
      </c>
    </row>
    <row r="20" spans="1:7" x14ac:dyDescent="0.2">
      <c r="A20" s="9" t="s">
        <v>108</v>
      </c>
      <c r="B20" s="15">
        <v>39072</v>
      </c>
      <c r="C20" s="15">
        <v>1199</v>
      </c>
      <c r="D20" s="15">
        <v>38783</v>
      </c>
      <c r="E20" s="15">
        <v>39982</v>
      </c>
      <c r="F20" s="15">
        <v>26239</v>
      </c>
      <c r="G20" s="16">
        <f>IF(AND(F67&lt;&gt;0,26239&lt;&gt;0),IF(100*26239/(F67-0)&lt;0.005,"*",100*26239/(F67-0)),0)</f>
        <v>2.3432448748495229</v>
      </c>
    </row>
    <row r="21" spans="1:7" x14ac:dyDescent="0.2">
      <c r="A21" s="9" t="s">
        <v>109</v>
      </c>
      <c r="B21" s="15">
        <v>21942</v>
      </c>
      <c r="C21" s="15">
        <v>674</v>
      </c>
      <c r="D21" s="15">
        <v>21779</v>
      </c>
      <c r="E21" s="15">
        <v>22453</v>
      </c>
      <c r="F21" s="15">
        <v>14735</v>
      </c>
      <c r="G21" s="16">
        <f>IF(AND(F67&lt;&gt;0,14735&lt;&gt;0),IF(100*14735/(F67-0)&lt;0.005,"*",100*14735/(F67-0)),0)</f>
        <v>1.3158928781930608</v>
      </c>
    </row>
    <row r="22" spans="1:7" x14ac:dyDescent="0.2">
      <c r="A22" s="9" t="s">
        <v>110</v>
      </c>
      <c r="B22" s="15">
        <v>14609</v>
      </c>
      <c r="C22" s="15">
        <v>449</v>
      </c>
      <c r="D22" s="15">
        <v>14526</v>
      </c>
      <c r="E22" s="15">
        <v>14975</v>
      </c>
      <c r="F22" s="15">
        <v>9828</v>
      </c>
      <c r="G22" s="16">
        <f>IF(AND(F67&lt;&gt;0,9828&lt;&gt;0),IF(100*9828/(F67-0)&lt;0.005,"*",100*9828/(F67-0)),0)</f>
        <v>0.87767867030073976</v>
      </c>
    </row>
    <row r="23" spans="1:7" x14ac:dyDescent="0.2">
      <c r="A23" s="9" t="s">
        <v>111</v>
      </c>
      <c r="B23" s="15">
        <v>20598</v>
      </c>
      <c r="C23" s="15">
        <v>633</v>
      </c>
      <c r="D23" s="15">
        <v>20482</v>
      </c>
      <c r="E23" s="15">
        <v>21115</v>
      </c>
      <c r="F23" s="15">
        <v>13857</v>
      </c>
      <c r="G23" s="16">
        <f>IF(AND(F67&lt;&gt;0,13857&lt;&gt;0),IF(100*13857/(F67-0)&lt;0.005,"*",100*13857/(F67-0)),0)</f>
        <v>1.2374840592549197</v>
      </c>
    </row>
    <row r="24" spans="1:7" x14ac:dyDescent="0.2">
      <c r="A24" s="9" t="s">
        <v>112</v>
      </c>
      <c r="B24" s="15">
        <v>17948</v>
      </c>
      <c r="C24" s="15">
        <v>547</v>
      </c>
      <c r="D24" s="15">
        <v>17690</v>
      </c>
      <c r="E24" s="15">
        <v>18237</v>
      </c>
      <c r="F24" s="15">
        <v>11969</v>
      </c>
      <c r="G24" s="16">
        <f>IF(AND(F67&lt;&gt;0,11969&lt;&gt;0),IF(100*11969/(F67-0)&lt;0.005,"*",100*11969/(F67-0)),0)</f>
        <v>1.0688783073697146</v>
      </c>
    </row>
    <row r="25" spans="1:7" x14ac:dyDescent="0.2">
      <c r="A25" s="9" t="s">
        <v>113</v>
      </c>
      <c r="B25" s="15">
        <v>12550</v>
      </c>
      <c r="C25" s="15">
        <v>385</v>
      </c>
      <c r="D25" s="15">
        <v>12457</v>
      </c>
      <c r="E25" s="15">
        <v>12842</v>
      </c>
      <c r="F25" s="15">
        <v>8428</v>
      </c>
      <c r="G25" s="16">
        <f>IF(AND(F67&lt;&gt;0,8428&lt;&gt;0),IF(100*8428/(F67-0)&lt;0.005,"*",100*8428/(F67-0)),0)</f>
        <v>0.75265321869094781</v>
      </c>
    </row>
    <row r="26" spans="1:7" x14ac:dyDescent="0.2">
      <c r="A26" s="9" t="s">
        <v>114</v>
      </c>
      <c r="B26" s="15">
        <v>39212</v>
      </c>
      <c r="C26" s="15">
        <v>1204</v>
      </c>
      <c r="D26" s="15">
        <v>38921</v>
      </c>
      <c r="E26" s="15">
        <v>40125</v>
      </c>
      <c r="F26" s="15">
        <v>26333</v>
      </c>
      <c r="G26" s="16">
        <f>IF(AND(F67&lt;&gt;0,26333&lt;&gt;0),IF(100*26333/(F67-0)&lt;0.005,"*",100*26333/(F67-0)),0)</f>
        <v>2.3516394408861805</v>
      </c>
    </row>
    <row r="27" spans="1:7" x14ac:dyDescent="0.2">
      <c r="A27" s="9" t="s">
        <v>115</v>
      </c>
      <c r="B27" s="15">
        <v>55045</v>
      </c>
      <c r="C27" s="15">
        <v>1690</v>
      </c>
      <c r="D27" s="15">
        <v>54637</v>
      </c>
      <c r="E27" s="15">
        <v>56327</v>
      </c>
      <c r="F27" s="15">
        <v>36966</v>
      </c>
      <c r="G27" s="16">
        <f>IF(AND(F67&lt;&gt;0,36966&lt;&gt;0),IF(100*36966/(F67-0)&lt;0.005,"*",100*36966/(F67-0)),0)</f>
        <v>3.3012077458625506</v>
      </c>
    </row>
    <row r="28" spans="1:7" x14ac:dyDescent="0.2">
      <c r="A28" s="9" t="s">
        <v>116</v>
      </c>
      <c r="B28" s="15">
        <v>69911</v>
      </c>
      <c r="C28" s="15">
        <v>2140</v>
      </c>
      <c r="D28" s="15">
        <v>69194</v>
      </c>
      <c r="E28" s="15">
        <v>71334</v>
      </c>
      <c r="F28" s="15">
        <v>46815</v>
      </c>
      <c r="G28" s="16">
        <f>IF(AND(F67&lt;&gt;0,46815&lt;&gt;0),IF(100*46815/(F67-0)&lt;0.005,"*",100*46815/(F67-0)),0)</f>
        <v>4.1807617979374374</v>
      </c>
    </row>
    <row r="29" spans="1:7" x14ac:dyDescent="0.2">
      <c r="A29" s="9" t="s">
        <v>117</v>
      </c>
      <c r="B29" s="15">
        <v>29799</v>
      </c>
      <c r="C29" s="15">
        <v>915</v>
      </c>
      <c r="D29" s="15">
        <v>29578</v>
      </c>
      <c r="E29" s="15">
        <v>30493</v>
      </c>
      <c r="F29" s="15">
        <v>20012</v>
      </c>
      <c r="G29" s="16">
        <f>IF(AND(F67&lt;&gt;0,20012&lt;&gt;0),IF(100*20012/(F67-0)&lt;0.005,"*",100*20012/(F67-0)),0)</f>
        <v>1.7871495268679696</v>
      </c>
    </row>
    <row r="30" spans="1:7" x14ac:dyDescent="0.2">
      <c r="A30" s="9" t="s">
        <v>118</v>
      </c>
      <c r="B30" s="15">
        <v>14583</v>
      </c>
      <c r="C30" s="15">
        <v>448</v>
      </c>
      <c r="D30" s="15">
        <v>14499</v>
      </c>
      <c r="E30" s="15">
        <v>14947</v>
      </c>
      <c r="F30" s="15">
        <v>9809</v>
      </c>
      <c r="G30" s="16">
        <f>IF(AND(F67&lt;&gt;0,9809&lt;&gt;0),IF(100*9809/(F67-0)&lt;0.005,"*",100*9809/(F67-0)),0)</f>
        <v>0.87598189631460688</v>
      </c>
    </row>
    <row r="31" spans="1:7" x14ac:dyDescent="0.2">
      <c r="A31" s="9" t="s">
        <v>119</v>
      </c>
      <c r="B31" s="15">
        <v>44944</v>
      </c>
      <c r="C31" s="15">
        <v>1380</v>
      </c>
      <c r="D31" s="15">
        <v>44611</v>
      </c>
      <c r="E31" s="15">
        <v>45991</v>
      </c>
      <c r="F31" s="15">
        <v>30183</v>
      </c>
      <c r="G31" s="16">
        <f>IF(AND(F67&lt;&gt;0,30183&lt;&gt;0),IF(100*30183/(F67-0)&lt;0.005,"*",100*30183/(F67-0)),0)</f>
        <v>2.6954594328131085</v>
      </c>
    </row>
    <row r="32" spans="1:7" x14ac:dyDescent="0.2">
      <c r="A32" s="9" t="s">
        <v>120</v>
      </c>
      <c r="B32" s="15">
        <v>7959</v>
      </c>
      <c r="C32" s="15">
        <v>244</v>
      </c>
      <c r="D32" s="15">
        <v>7900</v>
      </c>
      <c r="E32" s="15">
        <v>8144</v>
      </c>
      <c r="F32" s="15">
        <v>5345</v>
      </c>
      <c r="G32" s="16">
        <f>IF(AND(F67&lt;&gt;0,5345&lt;&gt;0),IF(100*5345/(F67-0)&lt;0.005,"*",100*5345/(F67-0)),0)</f>
        <v>0.47732931346738444</v>
      </c>
    </row>
    <row r="33" spans="1:7" x14ac:dyDescent="0.2">
      <c r="A33" s="9" t="s">
        <v>121</v>
      </c>
      <c r="B33" s="15">
        <v>8170</v>
      </c>
      <c r="C33" s="15">
        <v>255</v>
      </c>
      <c r="D33" s="15">
        <v>8231</v>
      </c>
      <c r="E33" s="15">
        <v>8486</v>
      </c>
      <c r="F33" s="15">
        <v>5569</v>
      </c>
      <c r="G33" s="16">
        <f>IF(AND(F67&lt;&gt;0,5569&lt;&gt;0),IF(100*5569/(F67-0)&lt;0.005,"*",100*5569/(F67-0)),0)</f>
        <v>0.49733338572495117</v>
      </c>
    </row>
    <row r="34" spans="1:7" x14ac:dyDescent="0.2">
      <c r="A34" s="9" t="s">
        <v>122</v>
      </c>
      <c r="B34" s="15">
        <v>7959</v>
      </c>
      <c r="C34" s="15">
        <v>244</v>
      </c>
      <c r="D34" s="15">
        <v>7900</v>
      </c>
      <c r="E34" s="15">
        <v>8144</v>
      </c>
      <c r="F34" s="15">
        <v>5345</v>
      </c>
      <c r="G34" s="16">
        <f>IF(AND(F67&lt;&gt;0,5345&lt;&gt;0),IF(100*5345/(F67-0)&lt;0.005,"*",100*5345/(F67-0)),0)</f>
        <v>0.47732931346738444</v>
      </c>
    </row>
    <row r="35" spans="1:7" x14ac:dyDescent="0.2">
      <c r="A35" s="9" t="s">
        <v>123</v>
      </c>
      <c r="B35" s="15">
        <v>16202</v>
      </c>
      <c r="C35" s="15">
        <v>497</v>
      </c>
      <c r="D35" s="15">
        <v>16082</v>
      </c>
      <c r="E35" s="15">
        <v>16579</v>
      </c>
      <c r="F35" s="15">
        <v>10880</v>
      </c>
      <c r="G35" s="16">
        <f>IF(AND(F67&lt;&gt;0,10880&lt;&gt;0),IF(100*10880/(F67-0)&lt;0.005,"*",100*10880/(F67-0)),0)</f>
        <v>0.97162636679609782</v>
      </c>
    </row>
    <row r="36" spans="1:7" x14ac:dyDescent="0.2">
      <c r="A36" s="9" t="s">
        <v>124</v>
      </c>
      <c r="B36" s="15">
        <v>66333</v>
      </c>
      <c r="C36" s="15">
        <v>2034</v>
      </c>
      <c r="D36" s="15">
        <v>65760</v>
      </c>
      <c r="E36" s="15">
        <v>67794</v>
      </c>
      <c r="F36" s="15">
        <v>44492</v>
      </c>
      <c r="G36" s="16">
        <f>IF(AND(F67&lt;&gt;0,44492&lt;&gt;0),IF(100*44492/(F67-0)&lt;0.005,"*",100*44492/(F67-0)),0)</f>
        <v>3.9733088521591897</v>
      </c>
    </row>
    <row r="37" spans="1:7" x14ac:dyDescent="0.2">
      <c r="A37" s="9" t="s">
        <v>125</v>
      </c>
      <c r="B37" s="15">
        <v>9366</v>
      </c>
      <c r="C37" s="15">
        <v>244</v>
      </c>
      <c r="D37" s="15">
        <v>7900</v>
      </c>
      <c r="E37" s="15">
        <v>8144</v>
      </c>
      <c r="F37" s="15">
        <v>5345</v>
      </c>
      <c r="G37" s="16">
        <f>IF(AND(F67&lt;&gt;0,5345&lt;&gt;0),IF(100*5345/(F67-0)&lt;0.005,"*",100*5345/(F67-0)),0)</f>
        <v>0.47732931346738444</v>
      </c>
    </row>
    <row r="38" spans="1:7" x14ac:dyDescent="0.2">
      <c r="A38" s="9" t="s">
        <v>126</v>
      </c>
      <c r="B38" s="15">
        <v>178948</v>
      </c>
      <c r="C38" s="15">
        <v>5494</v>
      </c>
      <c r="D38" s="15">
        <v>177626</v>
      </c>
      <c r="E38" s="15">
        <v>183120</v>
      </c>
      <c r="F38" s="15">
        <v>120175</v>
      </c>
      <c r="G38" s="16">
        <f>IF(AND(F67&lt;&gt;0,120175&lt;&gt;0),IF(100*120175/(F67-0)&lt;0.005,"*",100*120175/(F67-0)),0)</f>
        <v>10.732095462290538</v>
      </c>
    </row>
    <row r="39" spans="1:7" x14ac:dyDescent="0.2">
      <c r="A39" s="9" t="s">
        <v>127</v>
      </c>
      <c r="B39" s="15">
        <v>29209</v>
      </c>
      <c r="C39" s="15">
        <v>898</v>
      </c>
      <c r="D39" s="15">
        <v>29043</v>
      </c>
      <c r="E39" s="15">
        <v>29941</v>
      </c>
      <c r="F39" s="15">
        <v>19650</v>
      </c>
      <c r="G39" s="16">
        <f>IF(AND(F67&lt;&gt;0,19650&lt;&gt;0),IF(100*19650/(F67-0)&lt;0.005,"*",100*19650/(F67-0)),0)</f>
        <v>1.7548215172374375</v>
      </c>
    </row>
    <row r="40" spans="1:7" x14ac:dyDescent="0.2">
      <c r="A40" s="9" t="s">
        <v>128</v>
      </c>
      <c r="B40" s="15">
        <v>7994</v>
      </c>
      <c r="C40" s="15">
        <v>244</v>
      </c>
      <c r="D40" s="15">
        <v>7900</v>
      </c>
      <c r="E40" s="15">
        <v>8144</v>
      </c>
      <c r="F40" s="15">
        <v>5345</v>
      </c>
      <c r="G40" s="16">
        <f>IF(AND(F67&lt;&gt;0,5345&lt;&gt;0),IF(100*5345/(F67-0)&lt;0.005,"*",100*5345/(F67-0)),0)</f>
        <v>0.47732931346738444</v>
      </c>
    </row>
    <row r="41" spans="1:7" x14ac:dyDescent="0.2">
      <c r="A41" s="9" t="s">
        <v>129</v>
      </c>
      <c r="B41" s="15">
        <v>91270</v>
      </c>
      <c r="C41" s="15">
        <v>2802</v>
      </c>
      <c r="D41" s="15">
        <v>90593</v>
      </c>
      <c r="E41" s="15">
        <v>93395</v>
      </c>
      <c r="F41" s="15">
        <v>61293</v>
      </c>
      <c r="G41" s="16">
        <f>IF(AND(F67&lt;&gt;0,61293&lt;&gt;0),IF(100*61293/(F67-0)&lt;0.005,"*",100*61293/(F67-0)),0)</f>
        <v>5.4737035753707008</v>
      </c>
    </row>
    <row r="42" spans="1:7" x14ac:dyDescent="0.2">
      <c r="A42" s="9" t="s">
        <v>130</v>
      </c>
      <c r="B42" s="15">
        <v>14184</v>
      </c>
      <c r="C42" s="15">
        <v>402</v>
      </c>
      <c r="D42" s="15">
        <v>13001</v>
      </c>
      <c r="E42" s="15">
        <v>13403</v>
      </c>
      <c r="F42" s="15">
        <v>8796</v>
      </c>
      <c r="G42" s="16">
        <f>IF(AND(F67&lt;&gt;0,8796&lt;&gt;0),IF(100*8796/(F67-0)&lt;0.005,"*",100*8796/(F67-0)),0)</f>
        <v>0.78551705168552166</v>
      </c>
    </row>
    <row r="43" spans="1:7" x14ac:dyDescent="0.2">
      <c r="A43" s="9" t="s">
        <v>131</v>
      </c>
      <c r="B43" s="15">
        <v>18315</v>
      </c>
      <c r="C43" s="15">
        <v>562</v>
      </c>
      <c r="D43" s="15">
        <v>18179</v>
      </c>
      <c r="E43" s="15">
        <v>18741</v>
      </c>
      <c r="F43" s="15">
        <v>12299</v>
      </c>
      <c r="G43" s="16">
        <f>IF(AND(F67&lt;&gt;0,12299&lt;&gt;0),IF(100*12299/(F67-0)&lt;0.005,"*",100*12299/(F67-0)),0)</f>
        <v>1.0983485923920226</v>
      </c>
    </row>
    <row r="44" spans="1:7" x14ac:dyDescent="0.2">
      <c r="A44" s="9" t="s">
        <v>132</v>
      </c>
      <c r="B44" s="15">
        <v>64221</v>
      </c>
      <c r="C44" s="15">
        <v>1971</v>
      </c>
      <c r="D44" s="15">
        <v>63745</v>
      </c>
      <c r="E44" s="15">
        <v>65716</v>
      </c>
      <c r="F44" s="15">
        <v>43128</v>
      </c>
      <c r="G44" s="16">
        <f>IF(AND(F67&lt;&gt;0,43128&lt;&gt;0),IF(100*43128/(F67-0)&lt;0.005,"*",100*43128/(F67-0)),0)</f>
        <v>3.8514983407336492</v>
      </c>
    </row>
    <row r="45" spans="1:7" x14ac:dyDescent="0.2">
      <c r="A45" s="9" t="s">
        <v>133</v>
      </c>
      <c r="B45" s="15">
        <v>10886</v>
      </c>
      <c r="C45" s="15">
        <v>334</v>
      </c>
      <c r="D45" s="15">
        <v>10806</v>
      </c>
      <c r="E45" s="15">
        <v>11140</v>
      </c>
      <c r="F45" s="15">
        <v>7311</v>
      </c>
      <c r="G45" s="16">
        <f>IF(AND(F67&lt;&gt;0,7311&lt;&gt;0),IF(100*7311/(F67-0)&lt;0.005,"*",100*7311/(F67-0)),0)</f>
        <v>0.65290076908513517</v>
      </c>
    </row>
    <row r="46" spans="1:7" x14ac:dyDescent="0.2">
      <c r="A46" s="9" t="s">
        <v>134</v>
      </c>
      <c r="B46" s="15">
        <v>16609</v>
      </c>
      <c r="C46" s="15">
        <v>510</v>
      </c>
      <c r="D46" s="15">
        <v>16486</v>
      </c>
      <c r="E46" s="15">
        <v>16996</v>
      </c>
      <c r="F46" s="15">
        <v>11154</v>
      </c>
      <c r="G46" s="16">
        <f>IF(AND(F67&lt;&gt;0,11154&lt;&gt;0),IF(100*11154/(F67-0)&lt;0.005,"*",100*11154/(F67-0)),0)</f>
        <v>0.99609563375401422</v>
      </c>
    </row>
    <row r="47" spans="1:7" x14ac:dyDescent="0.2">
      <c r="A47" s="9" t="s">
        <v>135</v>
      </c>
      <c r="B47" s="15">
        <v>7959</v>
      </c>
      <c r="C47" s="15">
        <v>244</v>
      </c>
      <c r="D47" s="15">
        <v>7900</v>
      </c>
      <c r="E47" s="15">
        <v>8144</v>
      </c>
      <c r="F47" s="15">
        <v>5345</v>
      </c>
      <c r="G47" s="16">
        <f>IF(AND(F67&lt;&gt;0,5345&lt;&gt;0),IF(100*5345/(F67-0)&lt;0.005,"*",100*5345/(F67-0)),0)</f>
        <v>0.47732931346738444</v>
      </c>
    </row>
    <row r="48" spans="1:7" x14ac:dyDescent="0.2">
      <c r="A48" s="9" t="s">
        <v>136</v>
      </c>
      <c r="B48" s="15">
        <v>23511</v>
      </c>
      <c r="C48" s="15">
        <v>723</v>
      </c>
      <c r="D48" s="15">
        <v>23377</v>
      </c>
      <c r="E48" s="15">
        <v>24100</v>
      </c>
      <c r="F48" s="15">
        <v>15816</v>
      </c>
      <c r="G48" s="16">
        <f>IF(AND(F67&lt;&gt;0,15816&lt;&gt;0),IF(100*15816/(F67-0)&lt;0.005,"*",100*15816/(F67-0)),0)</f>
        <v>1.4124303876146216</v>
      </c>
    </row>
    <row r="49" spans="1:7" x14ac:dyDescent="0.2">
      <c r="A49" s="9" t="s">
        <v>137</v>
      </c>
      <c r="B49" s="15">
        <v>74102</v>
      </c>
      <c r="C49" s="15">
        <v>2275</v>
      </c>
      <c r="D49" s="15">
        <v>73552</v>
      </c>
      <c r="E49" s="15">
        <v>75827</v>
      </c>
      <c r="F49" s="15">
        <v>49763</v>
      </c>
      <c r="G49" s="16">
        <f>IF(AND(F67&lt;&gt;0,49763&lt;&gt;0),IF(100*49763/(F67-0)&lt;0.005,"*",100*49763/(F67-0)),0)</f>
        <v>4.4440296774700565</v>
      </c>
    </row>
    <row r="50" spans="1:7" x14ac:dyDescent="0.2">
      <c r="A50" s="9" t="s">
        <v>138</v>
      </c>
      <c r="B50" s="15">
        <v>8543</v>
      </c>
      <c r="C50" s="15">
        <v>262</v>
      </c>
      <c r="D50" s="15">
        <v>8479</v>
      </c>
      <c r="E50" s="15">
        <v>8741</v>
      </c>
      <c r="F50" s="15">
        <v>5737</v>
      </c>
      <c r="G50" s="16">
        <f>IF(AND(F67&lt;&gt;0,5737&lt;&gt;0),IF(100*5737/(F67-0)&lt;0.005,"*",100*5737/(F67-0)),0)</f>
        <v>0.51233643991812616</v>
      </c>
    </row>
    <row r="51" spans="1:7" x14ac:dyDescent="0.2">
      <c r="A51" s="9" t="s">
        <v>139</v>
      </c>
      <c r="B51" s="15">
        <v>7959</v>
      </c>
      <c r="C51" s="15">
        <v>244</v>
      </c>
      <c r="D51" s="15">
        <v>7900</v>
      </c>
      <c r="E51" s="15">
        <v>8144</v>
      </c>
      <c r="F51" s="15">
        <v>5345</v>
      </c>
      <c r="G51" s="16">
        <f>IF(AND(F67&lt;&gt;0,5345&lt;&gt;0),IF(100*5345/(F67-0)&lt;0.005,"*",100*5345/(F67-0)),0)</f>
        <v>0.47732931346738444</v>
      </c>
    </row>
    <row r="52" spans="1:7" x14ac:dyDescent="0.2">
      <c r="A52" s="9" t="s">
        <v>140</v>
      </c>
      <c r="B52" s="15">
        <v>33180</v>
      </c>
      <c r="C52" s="15">
        <v>1019</v>
      </c>
      <c r="D52" s="15">
        <v>32933</v>
      </c>
      <c r="E52" s="15">
        <v>33952</v>
      </c>
      <c r="F52" s="15">
        <v>22282</v>
      </c>
      <c r="G52" s="16">
        <f>IF(AND(F67&lt;&gt;0,22282&lt;&gt;0),IF(100*22282/(F67-0)&lt;0.005,"*",100*22282/(F67-0)),0)</f>
        <v>1.9898693662638465</v>
      </c>
    </row>
    <row r="53" spans="1:7" x14ac:dyDescent="0.2">
      <c r="A53" s="9" t="s">
        <v>141</v>
      </c>
      <c r="B53" s="15">
        <v>28194</v>
      </c>
      <c r="C53" s="15">
        <v>866</v>
      </c>
      <c r="D53" s="15">
        <v>27985</v>
      </c>
      <c r="E53" s="15">
        <v>28851</v>
      </c>
      <c r="F53" s="15">
        <v>18934</v>
      </c>
      <c r="G53" s="16">
        <f>IF(AND(F67&lt;&gt;0,18934&lt;&gt;0),IF(100*18934/(F67-0)&lt;0.005,"*",100*18934/(F67-0)),0)</f>
        <v>1.6908799291284298</v>
      </c>
    </row>
    <row r="54" spans="1:7" x14ac:dyDescent="0.2">
      <c r="A54" s="9" t="s">
        <v>142</v>
      </c>
      <c r="B54" s="15">
        <v>25273</v>
      </c>
      <c r="C54" s="15">
        <v>776</v>
      </c>
      <c r="D54" s="15">
        <v>25086</v>
      </c>
      <c r="E54" s="15">
        <v>25862</v>
      </c>
      <c r="F54" s="15">
        <v>16973</v>
      </c>
      <c r="G54" s="16">
        <f>IF(AND(F67&lt;&gt;0,16973&lt;&gt;0),IF(100*16973/(F67-0)&lt;0.005,"*",100*16973/(F67-0)),0)</f>
        <v>1.5157549929807139</v>
      </c>
    </row>
    <row r="55" spans="1:7" x14ac:dyDescent="0.2">
      <c r="A55" s="9" t="s">
        <v>143</v>
      </c>
      <c r="B55" s="15">
        <v>43930</v>
      </c>
      <c r="C55" s="15">
        <v>1346</v>
      </c>
      <c r="D55" s="15">
        <v>43505</v>
      </c>
      <c r="E55" s="15">
        <v>44851</v>
      </c>
      <c r="F55" s="15">
        <v>29434</v>
      </c>
      <c r="G55" s="16">
        <f>IF(AND(F67&lt;&gt;0,29434&lt;&gt;0),IF(100*29434/(F67-0)&lt;0.005,"*",100*29434/(F67-0)),0)</f>
        <v>2.6285708162018695</v>
      </c>
    </row>
    <row r="56" spans="1:7" x14ac:dyDescent="0.2">
      <c r="A56" s="9" t="s">
        <v>144</v>
      </c>
      <c r="B56" s="15">
        <v>7959</v>
      </c>
      <c r="C56" s="15">
        <v>244</v>
      </c>
      <c r="D56" s="15">
        <v>7900</v>
      </c>
      <c r="E56" s="15">
        <v>8144</v>
      </c>
      <c r="F56" s="15">
        <v>5345</v>
      </c>
      <c r="G56" s="16">
        <f>IF(AND(F67&lt;&gt;0,5345&lt;&gt;0),IF(100*5345/(F67-0)&lt;0.005,"*",100*5345/(F67-0)),0)</f>
        <v>0.47732931346738444</v>
      </c>
    </row>
    <row r="57" spans="1:7" x14ac:dyDescent="0.2">
      <c r="A57" s="9" t="s">
        <v>145</v>
      </c>
      <c r="B57" s="15">
        <v>9323</v>
      </c>
      <c r="C57" s="15">
        <v>270</v>
      </c>
      <c r="D57" s="15">
        <v>8723</v>
      </c>
      <c r="E57" s="15">
        <v>8993</v>
      </c>
      <c r="F57" s="15">
        <v>5904</v>
      </c>
      <c r="G57" s="16">
        <f>IF(AND(F67&lt;&gt;0,5904&lt;&gt;0),IF(100*5904/(F67-0)&lt;0.005,"*",100*5904/(F67-0)),0)</f>
        <v>0.52725019021729425</v>
      </c>
    </row>
    <row r="58" spans="1:7" x14ac:dyDescent="0.2">
      <c r="A58" s="9" t="s">
        <v>146</v>
      </c>
      <c r="B58" s="15">
        <v>7725</v>
      </c>
      <c r="C58" s="15">
        <v>195</v>
      </c>
      <c r="D58" s="15">
        <v>6312</v>
      </c>
      <c r="E58" s="15">
        <v>6507</v>
      </c>
      <c r="F58" s="15">
        <v>4272</v>
      </c>
      <c r="G58" s="16">
        <f>IF(AND(F67&lt;&gt;0,4272&lt;&gt;0),IF(100*4272/(F67-0)&lt;0.005,"*",100*4272/(F67-0)),0)</f>
        <v>0.38150623519787957</v>
      </c>
    </row>
    <row r="59" spans="1:7" x14ac:dyDescent="0.2">
      <c r="A59" s="9" t="s">
        <v>147</v>
      </c>
      <c r="B59" s="15">
        <v>4779</v>
      </c>
      <c r="C59" s="15">
        <v>125</v>
      </c>
      <c r="D59" s="15">
        <v>4055</v>
      </c>
      <c r="E59" s="15">
        <v>4180</v>
      </c>
      <c r="F59" s="15">
        <v>2744</v>
      </c>
      <c r="G59" s="16">
        <f>IF(AND(F67&lt;&gt;0,2744&lt;&gt;0),IF(100*2744/(F67-0)&lt;0.005,"*",100*2744/(F67-0)),0)</f>
        <v>0.2450498851551923</v>
      </c>
    </row>
    <row r="60" spans="1:7" x14ac:dyDescent="0.2">
      <c r="A60" s="9" t="s">
        <v>148</v>
      </c>
      <c r="B60" s="15">
        <v>17503</v>
      </c>
      <c r="C60" s="15">
        <v>649</v>
      </c>
      <c r="D60" s="15">
        <v>20989</v>
      </c>
      <c r="E60" s="15">
        <v>21638</v>
      </c>
      <c r="F60" s="15">
        <v>14200</v>
      </c>
      <c r="G60" s="16">
        <f>IF(AND(F67&lt;&gt;0,14200&lt;&gt;0),IF(100*14200/(F67-0)&lt;0.005,"*",100*14200/(F67-0)),0)</f>
        <v>1.2681152948993188</v>
      </c>
    </row>
    <row r="61" spans="1:7" x14ac:dyDescent="0.2">
      <c r="A61" s="9" t="s">
        <v>149</v>
      </c>
      <c r="B61" s="15">
        <v>0</v>
      </c>
      <c r="C61" s="15">
        <v>0</v>
      </c>
      <c r="D61" s="15">
        <v>0</v>
      </c>
      <c r="E61" s="15">
        <v>0</v>
      </c>
      <c r="F61" s="15">
        <v>0</v>
      </c>
      <c r="G61" s="16">
        <f>IF(AND(F67&lt;&gt;0,0&lt;&gt;0),IF(100*0/(F67-0)&lt;0.005,"*",100*0/(F67-0)),0)</f>
        <v>0</v>
      </c>
    </row>
    <row r="62" spans="1:7" x14ac:dyDescent="0.2">
      <c r="A62" s="9" t="s">
        <v>150</v>
      </c>
      <c r="B62" s="15">
        <v>4213</v>
      </c>
      <c r="C62" s="15">
        <v>157</v>
      </c>
      <c r="D62" s="15">
        <v>5063</v>
      </c>
      <c r="E62" s="15">
        <v>5220</v>
      </c>
      <c r="F62" s="15">
        <v>3427</v>
      </c>
      <c r="G62" s="16">
        <f>IF(AND(F67&lt;&gt;0,3427&lt;&gt;0),IF(100*3427/(F67-0)&lt;0.005,"*",100*3427/(F67-0)),0)</f>
        <v>0.3060444447619694</v>
      </c>
    </row>
    <row r="63" spans="1:7" x14ac:dyDescent="0.2">
      <c r="A63" s="9" t="s">
        <v>151</v>
      </c>
      <c r="B63" s="15">
        <v>17540</v>
      </c>
      <c r="C63" s="15">
        <v>1016</v>
      </c>
      <c r="D63" s="15">
        <v>32862</v>
      </c>
      <c r="E63" s="15">
        <v>33878</v>
      </c>
      <c r="F63" s="15">
        <v>30000</v>
      </c>
      <c r="G63" s="16">
        <f>IF(AND(F67&lt;&gt;0,30000&lt;&gt;0),IF(100*30000/(F67-0)&lt;0.005,"*",100*30000/(F67-0)),0)</f>
        <v>2.6791168202098286</v>
      </c>
    </row>
    <row r="64" spans="1:7" x14ac:dyDescent="0.2">
      <c r="A64" s="9" t="s">
        <v>152</v>
      </c>
      <c r="B64" s="15">
        <v>0</v>
      </c>
      <c r="C64" s="15">
        <v>0</v>
      </c>
      <c r="D64" s="15">
        <v>0</v>
      </c>
      <c r="E64" s="15">
        <v>0</v>
      </c>
      <c r="F64" s="15">
        <v>0</v>
      </c>
      <c r="G64" s="16">
        <v>0</v>
      </c>
    </row>
    <row r="65" spans="1:7" ht="15" x14ac:dyDescent="0.2">
      <c r="A65" s="9" t="s">
        <v>325</v>
      </c>
      <c r="B65" s="21" t="s">
        <v>326</v>
      </c>
      <c r="C65" s="15">
        <v>0</v>
      </c>
      <c r="D65" s="15">
        <v>0</v>
      </c>
      <c r="E65" s="15">
        <v>0</v>
      </c>
      <c r="F65" s="15">
        <v>0</v>
      </c>
      <c r="G65" s="16">
        <f>IF(AND(F67&lt;&gt;0,0&lt;&gt;0),IF(100*0/(F67-0)&lt;0.005,"*",100*0/(F67-0)),0)</f>
        <v>0</v>
      </c>
    </row>
    <row r="66" spans="1:7" ht="25.5" x14ac:dyDescent="0.2">
      <c r="A66" s="9" t="s">
        <v>327</v>
      </c>
      <c r="B66" s="21" t="s">
        <v>328</v>
      </c>
      <c r="C66" s="15">
        <v>30</v>
      </c>
      <c r="D66" s="15">
        <v>970</v>
      </c>
      <c r="E66" s="15">
        <v>1000</v>
      </c>
      <c r="F66" s="15">
        <v>1000</v>
      </c>
      <c r="G66" s="16">
        <f>IF(AND(F67&lt;&gt;0,1000&lt;&gt;0),IF(100*1000/(F67-0)&lt;0.005,"*",100*1000/(F67-0)),0)</f>
        <v>8.9303894006994275E-2</v>
      </c>
    </row>
    <row r="67" spans="1:7" ht="15" customHeight="1" x14ac:dyDescent="0.2">
      <c r="A67" s="17" t="s">
        <v>93</v>
      </c>
      <c r="B67" s="18">
        <f>18098+9703+18166+10606+119067+12969+19862+7959+7959+54726+27367+12831+7959+73389+39072+21942+14609+20598+17948+12550+39212+55045+69911+29799+14583+44944+7959+8170+7959+16202+66333+9366+178948+29209+7994+91270+14184+18315+64221+10886+16609+7959+23511+74102+8543+7959+33180+28194+25273+43930+7959+9323+7725+4779+17503+0+4213+17540+0+6389+847+0</f>
        <v>1657428</v>
      </c>
      <c r="C67" s="18">
        <f>557+298+336+326+3560+398+610+244+244+1680+842+385+244+2251+1199+674+449+633+547+385+1204+1690+2140+915+448+1380+244+255+244+497+2034+244+5494+898+244+2802+402+562+1971+334+510+244+723+2275+262+244+1019+866+776+1346+244+270+195+125+649+0+157+1016+0+0+30+0</f>
        <v>50815</v>
      </c>
      <c r="D67" s="18">
        <f>17994+9631+10869+10527+115092+12872+19714+7900+7900+54320+27209+12464+7900+72781+38783+21779+14526+20482+17690+12457+38921+54637+69194+29578+14499+44611+7900+8231+7900+16082+65760+7900+177626+29043+7900+90593+13001+18179+63745+10806+16486+7900+23377+73552+8479+7900+32933+27985+25086+43505+7900+8723+6312+4055+20989+0+5063+32862+0+0+970+0</f>
        <v>1643073</v>
      </c>
      <c r="E67" s="18">
        <f>SUM(C67:D67)</f>
        <v>1693888</v>
      </c>
      <c r="F67" s="18">
        <f>12174+6516+7354+7122+77868+8709+13338+5345+5345+36752+18409+8432+5345+49241+26239+14735+9828+13857+11969+8428+26333+36966+46815+20012+9809+30183+5345+5569+5345+10880+44492+5345+120175+19650+5345+61293+8796+12299+43128+7311+11154+5345+15816+49763+5737+5345+22282+18934+16973+29434+5345+5904+4272+2744+14200+0+3427+30000+0+0+1000+0</f>
        <v>1119772</v>
      </c>
      <c r="G67" s="19" t="s">
        <v>193</v>
      </c>
    </row>
    <row r="68" spans="1:7" ht="15" customHeight="1" x14ac:dyDescent="0.2">
      <c r="A68" s="80" t="s">
        <v>154</v>
      </c>
      <c r="B68" s="80"/>
      <c r="C68" s="80"/>
      <c r="D68" s="80"/>
      <c r="E68" s="80"/>
      <c r="F68" s="80"/>
      <c r="G68" s="80"/>
    </row>
    <row r="69" spans="1:7" ht="15" customHeight="1" x14ac:dyDescent="0.2">
      <c r="A69" s="66" t="s">
        <v>329</v>
      </c>
      <c r="B69" s="66"/>
      <c r="C69" s="66"/>
      <c r="D69" s="66"/>
      <c r="E69" s="66"/>
      <c r="F69" s="66"/>
      <c r="G69" s="66"/>
    </row>
    <row r="70" spans="1:7" ht="15" customHeight="1" x14ac:dyDescent="0.2">
      <c r="A70" s="66" t="s">
        <v>330</v>
      </c>
      <c r="B70" s="66"/>
      <c r="C70" s="66"/>
      <c r="D70" s="66"/>
      <c r="E70" s="66"/>
      <c r="F70" s="66"/>
      <c r="G70" s="66"/>
    </row>
    <row r="71" spans="1:7" ht="15" customHeight="1" x14ac:dyDescent="0.2">
      <c r="A71" s="66" t="s">
        <v>196</v>
      </c>
      <c r="B71" s="66"/>
      <c r="C71" s="66"/>
      <c r="D71" s="66"/>
      <c r="E71" s="66"/>
      <c r="F71" s="66"/>
      <c r="G71" s="66"/>
    </row>
  </sheetData>
  <mergeCells count="8">
    <mergeCell ref="A70:G70"/>
    <mergeCell ref="A71:G71"/>
    <mergeCell ref="A4:A5"/>
    <mergeCell ref="B4:B5"/>
    <mergeCell ref="F4:F5"/>
    <mergeCell ref="G4:G5"/>
    <mergeCell ref="A68:G68"/>
    <mergeCell ref="A69:G69"/>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0" t="s">
        <v>322</v>
      </c>
      <c r="B1" s="8"/>
      <c r="C1" s="8"/>
      <c r="D1" s="8"/>
      <c r="E1" s="8"/>
      <c r="F1" s="8"/>
      <c r="G1" s="10" t="s">
        <v>323</v>
      </c>
    </row>
    <row r="2" spans="1:7" x14ac:dyDescent="0.2">
      <c r="A2" s="11" t="s">
        <v>331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23944</v>
      </c>
      <c r="C6" s="15">
        <v>734</v>
      </c>
      <c r="D6" s="15">
        <v>23734</v>
      </c>
      <c r="E6" s="15">
        <v>24468</v>
      </c>
      <c r="F6" s="15">
        <v>18088</v>
      </c>
      <c r="G6" s="16">
        <f>IF(AND(F69&lt;&gt;0,18088&lt;&gt;0),IF(100*18088/(F69-0)&lt;0.005,"*",100*18088/(F69-0)),0)</f>
        <v>2.0953786521136242</v>
      </c>
    </row>
    <row r="7" spans="1:7" x14ac:dyDescent="0.2">
      <c r="A7" s="9" t="s">
        <v>95</v>
      </c>
      <c r="B7" s="15">
        <v>11107</v>
      </c>
      <c r="C7" s="15">
        <v>341</v>
      </c>
      <c r="D7" s="15">
        <v>11010</v>
      </c>
      <c r="E7" s="15">
        <v>11351</v>
      </c>
      <c r="F7" s="15">
        <v>8391</v>
      </c>
      <c r="G7" s="16">
        <f>IF(AND(F69&lt;&gt;0,8391&lt;&gt;0),IF(100*8391/(F69-0)&lt;0.005,"*",100*8391/(F69-0)),0)</f>
        <v>0.97204346914448359</v>
      </c>
    </row>
    <row r="8" spans="1:7" x14ac:dyDescent="0.2">
      <c r="A8" s="9" t="s">
        <v>96</v>
      </c>
      <c r="B8" s="15">
        <v>25480</v>
      </c>
      <c r="C8" s="15">
        <v>612</v>
      </c>
      <c r="D8" s="15">
        <v>19802</v>
      </c>
      <c r="E8" s="15">
        <v>20414</v>
      </c>
      <c r="F8" s="15">
        <v>15090</v>
      </c>
      <c r="G8" s="16">
        <f>IF(AND(F69&lt;&gt;0,15090&lt;&gt;0),IF(100*15090/(F69-0)&lt;0.005,"*",100*15090/(F69-0)),0)</f>
        <v>1.7480796030735619</v>
      </c>
    </row>
    <row r="9" spans="1:7" x14ac:dyDescent="0.2">
      <c r="A9" s="9" t="s">
        <v>97</v>
      </c>
      <c r="B9" s="15">
        <v>16711</v>
      </c>
      <c r="C9" s="15">
        <v>512</v>
      </c>
      <c r="D9" s="15">
        <v>16565</v>
      </c>
      <c r="E9" s="15">
        <v>17077</v>
      </c>
      <c r="F9" s="15">
        <v>12624</v>
      </c>
      <c r="G9" s="16">
        <f>IF(AND(F69&lt;&gt;0,12624&lt;&gt;0),IF(100*12624/(F69-0)&lt;0.005,"*",100*12624/(F69-0)),0)</f>
        <v>1.4624093379191945</v>
      </c>
    </row>
    <row r="10" spans="1:7" x14ac:dyDescent="0.2">
      <c r="A10" s="9" t="s">
        <v>98</v>
      </c>
      <c r="B10" s="15">
        <v>98940</v>
      </c>
      <c r="C10" s="15">
        <v>3004</v>
      </c>
      <c r="D10" s="15">
        <v>97126</v>
      </c>
      <c r="E10" s="15">
        <v>100130</v>
      </c>
      <c r="F10" s="15">
        <v>74020</v>
      </c>
      <c r="G10" s="16">
        <f>IF(AND(F69&lt;&gt;0,74020&lt;&gt;0),IF(100*74020/(F69-0)&lt;0.005,"*",100*74020/(F69-0)),0)</f>
        <v>8.5747416977803219</v>
      </c>
    </row>
    <row r="11" spans="1:7" x14ac:dyDescent="0.2">
      <c r="A11" s="9" t="s">
        <v>99</v>
      </c>
      <c r="B11" s="15">
        <v>21946</v>
      </c>
      <c r="C11" s="15">
        <v>673</v>
      </c>
      <c r="D11" s="15">
        <v>21754</v>
      </c>
      <c r="E11" s="15">
        <v>22427</v>
      </c>
      <c r="F11" s="15">
        <v>16579</v>
      </c>
      <c r="G11" s="16">
        <f>IF(AND(F69&lt;&gt;0,16579&lt;&gt;0),IF(100*16579/(F69-0)&lt;0.005,"*",100*16579/(F69-0)),0)</f>
        <v>1.9205706918062679</v>
      </c>
    </row>
    <row r="12" spans="1:7" x14ac:dyDescent="0.2">
      <c r="A12" s="9" t="s">
        <v>100</v>
      </c>
      <c r="B12" s="15">
        <v>11107</v>
      </c>
      <c r="C12" s="15">
        <v>341</v>
      </c>
      <c r="D12" s="15">
        <v>11010</v>
      </c>
      <c r="E12" s="15">
        <v>11351</v>
      </c>
      <c r="F12" s="15">
        <v>8391</v>
      </c>
      <c r="G12" s="16">
        <f>IF(AND(F69&lt;&gt;0,8391&lt;&gt;0),IF(100*8391/(F69-0)&lt;0.005,"*",100*8391/(F69-0)),0)</f>
        <v>0.97204346914448359</v>
      </c>
    </row>
    <row r="13" spans="1:7" x14ac:dyDescent="0.2">
      <c r="A13" s="9" t="s">
        <v>101</v>
      </c>
      <c r="B13" s="15">
        <v>11107</v>
      </c>
      <c r="C13" s="15">
        <v>341</v>
      </c>
      <c r="D13" s="15">
        <v>11010</v>
      </c>
      <c r="E13" s="15">
        <v>11351</v>
      </c>
      <c r="F13" s="15">
        <v>8391</v>
      </c>
      <c r="G13" s="16">
        <f>IF(AND(F69&lt;&gt;0,8391&lt;&gt;0),IF(100*8391/(F69-0)&lt;0.005,"*",100*8391/(F69-0)),0)</f>
        <v>0.97204346914448359</v>
      </c>
    </row>
    <row r="14" spans="1:7" x14ac:dyDescent="0.2">
      <c r="A14" s="9" t="s">
        <v>102</v>
      </c>
      <c r="B14" s="15">
        <v>12207</v>
      </c>
      <c r="C14" s="15">
        <v>341</v>
      </c>
      <c r="D14" s="15">
        <v>11010</v>
      </c>
      <c r="E14" s="15">
        <v>11351</v>
      </c>
      <c r="F14" s="15">
        <v>8391</v>
      </c>
      <c r="G14" s="16">
        <f>IF(AND(F69&lt;&gt;0,8391&lt;&gt;0),IF(100*8391/(F69-0)&lt;0.005,"*",100*8391/(F69-0)),0)</f>
        <v>0.97204346914448359</v>
      </c>
    </row>
    <row r="15" spans="1:7" x14ac:dyDescent="0.2">
      <c r="A15" s="9" t="s">
        <v>103</v>
      </c>
      <c r="B15" s="15">
        <v>43725</v>
      </c>
      <c r="C15" s="15">
        <v>1340</v>
      </c>
      <c r="D15" s="15">
        <v>43342</v>
      </c>
      <c r="E15" s="15">
        <v>44682</v>
      </c>
      <c r="F15" s="15">
        <v>33030</v>
      </c>
      <c r="G15" s="16">
        <f>IF(AND(F69&lt;&gt;0,33030&lt;&gt;0),IF(100*33030/(F69-0)&lt;0.005,"*",100*33030/(F69-0)),0)</f>
        <v>3.8263134055347745</v>
      </c>
    </row>
    <row r="16" spans="1:7" x14ac:dyDescent="0.2">
      <c r="A16" s="9" t="s">
        <v>104</v>
      </c>
      <c r="B16" s="15">
        <v>26175</v>
      </c>
      <c r="C16" s="15">
        <v>802</v>
      </c>
      <c r="D16" s="15">
        <v>25946</v>
      </c>
      <c r="E16" s="15">
        <v>26748</v>
      </c>
      <c r="F16" s="15">
        <v>19773</v>
      </c>
      <c r="G16" s="16">
        <f>IF(AND(F69&lt;&gt;0,19773&lt;&gt;0),IF(100*19773/(F69-0)&lt;0.005,"*",100*19773/(F69-0)),0)</f>
        <v>2.2905750822779019</v>
      </c>
    </row>
    <row r="17" spans="1:7" x14ac:dyDescent="0.2">
      <c r="A17" s="9" t="s">
        <v>105</v>
      </c>
      <c r="B17" s="15">
        <v>11107</v>
      </c>
      <c r="C17" s="15">
        <v>341</v>
      </c>
      <c r="D17" s="15">
        <v>11010</v>
      </c>
      <c r="E17" s="15">
        <v>11351</v>
      </c>
      <c r="F17" s="15">
        <v>8391</v>
      </c>
      <c r="G17" s="16">
        <f>IF(AND(F69&lt;&gt;0,8391&lt;&gt;0),IF(100*8391/(F69-0)&lt;0.005,"*",100*8391/(F69-0)),0)</f>
        <v>0.97204346914448359</v>
      </c>
    </row>
    <row r="18" spans="1:7" x14ac:dyDescent="0.2">
      <c r="A18" s="9" t="s">
        <v>106</v>
      </c>
      <c r="B18" s="15">
        <v>11107</v>
      </c>
      <c r="C18" s="15">
        <v>341</v>
      </c>
      <c r="D18" s="15">
        <v>11010</v>
      </c>
      <c r="E18" s="15">
        <v>11351</v>
      </c>
      <c r="F18" s="15">
        <v>8391</v>
      </c>
      <c r="G18" s="16">
        <f>IF(AND(F69&lt;&gt;0,8391&lt;&gt;0),IF(100*8391/(F69-0)&lt;0.005,"*",100*8391/(F69-0)),0)</f>
        <v>0.97204346914448359</v>
      </c>
    </row>
    <row r="19" spans="1:7" x14ac:dyDescent="0.2">
      <c r="A19" s="9" t="s">
        <v>107</v>
      </c>
      <c r="B19" s="15">
        <v>41908</v>
      </c>
      <c r="C19" s="15">
        <v>1285</v>
      </c>
      <c r="D19" s="15">
        <v>41540</v>
      </c>
      <c r="E19" s="15">
        <v>42825</v>
      </c>
      <c r="F19" s="15">
        <v>31658</v>
      </c>
      <c r="G19" s="16">
        <f>IF(AND(F69&lt;&gt;0,31658&lt;&gt;0),IF(100*31658/(F69-0)&lt;0.005,"*",100*31658/(F69-0)),0)</f>
        <v>3.667376015513772</v>
      </c>
    </row>
    <row r="20" spans="1:7" x14ac:dyDescent="0.2">
      <c r="A20" s="9" t="s">
        <v>108</v>
      </c>
      <c r="B20" s="15">
        <v>16978</v>
      </c>
      <c r="C20" s="15">
        <v>521</v>
      </c>
      <c r="D20" s="15">
        <v>16830</v>
      </c>
      <c r="E20" s="15">
        <v>17351</v>
      </c>
      <c r="F20" s="15">
        <v>12826</v>
      </c>
      <c r="G20" s="16">
        <f>IF(AND(F69&lt;&gt;0,12826&lt;&gt;0),IF(100*12826/(F69-0)&lt;0.005,"*",100*12826/(F69-0)),0)</f>
        <v>1.4858097408231612</v>
      </c>
    </row>
    <row r="21" spans="1:7" x14ac:dyDescent="0.2">
      <c r="A21" s="9" t="s">
        <v>109</v>
      </c>
      <c r="B21" s="15">
        <v>17348</v>
      </c>
      <c r="C21" s="15">
        <v>539</v>
      </c>
      <c r="D21" s="15">
        <v>17443</v>
      </c>
      <c r="E21" s="15">
        <v>17982</v>
      </c>
      <c r="F21" s="15">
        <v>13293</v>
      </c>
      <c r="G21" s="16">
        <f>IF(AND(F69&lt;&gt;0,13293&lt;&gt;0),IF(100*13293/(F69-0)&lt;0.005,"*",100*13293/(F69-0)),0)</f>
        <v>1.539908692091243</v>
      </c>
    </row>
    <row r="22" spans="1:7" x14ac:dyDescent="0.2">
      <c r="A22" s="9" t="s">
        <v>110</v>
      </c>
      <c r="B22" s="15">
        <v>12887</v>
      </c>
      <c r="C22" s="15">
        <v>395</v>
      </c>
      <c r="D22" s="15">
        <v>12774</v>
      </c>
      <c r="E22" s="15">
        <v>13169</v>
      </c>
      <c r="F22" s="15">
        <v>9735</v>
      </c>
      <c r="G22" s="16">
        <f>IF(AND(F69&lt;&gt;0,9735&lt;&gt;0),IF(100*9735/(F69-0)&lt;0.005,"*",100*9735/(F69-0)),0)</f>
        <v>1.1277372389609757</v>
      </c>
    </row>
    <row r="23" spans="1:7" x14ac:dyDescent="0.2">
      <c r="A23" s="9" t="s">
        <v>111</v>
      </c>
      <c r="B23" s="15">
        <v>18303</v>
      </c>
      <c r="C23" s="15">
        <v>561</v>
      </c>
      <c r="D23" s="15">
        <v>18143</v>
      </c>
      <c r="E23" s="15">
        <v>18704</v>
      </c>
      <c r="F23" s="15">
        <v>13827</v>
      </c>
      <c r="G23" s="16">
        <f>IF(AND(F69&lt;&gt;0,13827&lt;&gt;0),IF(100*13827/(F69-0)&lt;0.005,"*",100*13827/(F69-0)),0)</f>
        <v>1.6017691631344029</v>
      </c>
    </row>
    <row r="24" spans="1:7" x14ac:dyDescent="0.2">
      <c r="A24" s="9" t="s">
        <v>112</v>
      </c>
      <c r="B24" s="15">
        <v>16625</v>
      </c>
      <c r="C24" s="15">
        <v>510</v>
      </c>
      <c r="D24" s="15">
        <v>16479</v>
      </c>
      <c r="E24" s="15">
        <v>16989</v>
      </c>
      <c r="F24" s="15">
        <v>12559</v>
      </c>
      <c r="G24" s="16">
        <f>IF(AND(F69&lt;&gt;0,12559&lt;&gt;0),IF(100*12559/(F69-0)&lt;0.005,"*",100*12559/(F69-0)),0)</f>
        <v>1.4548795053015813</v>
      </c>
    </row>
    <row r="25" spans="1:7" x14ac:dyDescent="0.2">
      <c r="A25" s="9" t="s">
        <v>113</v>
      </c>
      <c r="B25" s="15">
        <v>11107</v>
      </c>
      <c r="C25" s="15">
        <v>341</v>
      </c>
      <c r="D25" s="15">
        <v>11010</v>
      </c>
      <c r="E25" s="15">
        <v>11351</v>
      </c>
      <c r="F25" s="15">
        <v>8391</v>
      </c>
      <c r="G25" s="16">
        <f>IF(AND(F69&lt;&gt;0,8391&lt;&gt;0),IF(100*8391/(F69-0)&lt;0.005,"*",100*8391/(F69-0)),0)</f>
        <v>0.97204346914448359</v>
      </c>
    </row>
    <row r="26" spans="1:7" x14ac:dyDescent="0.2">
      <c r="A26" s="9" t="s">
        <v>114</v>
      </c>
      <c r="B26" s="15">
        <v>20348</v>
      </c>
      <c r="C26" s="15">
        <v>624</v>
      </c>
      <c r="D26" s="15">
        <v>20169</v>
      </c>
      <c r="E26" s="15">
        <v>20793</v>
      </c>
      <c r="F26" s="15">
        <v>15371</v>
      </c>
      <c r="G26" s="16">
        <f>IF(AND(F69&lt;&gt;0,15371&lt;&gt;0),IF(100*15371/(F69-0)&lt;0.005,"*",100*15371/(F69-0)),0)</f>
        <v>1.780631648697397</v>
      </c>
    </row>
    <row r="27" spans="1:7" x14ac:dyDescent="0.2">
      <c r="A27" s="9" t="s">
        <v>115</v>
      </c>
      <c r="B27" s="15">
        <v>25774</v>
      </c>
      <c r="C27" s="15">
        <v>790</v>
      </c>
      <c r="D27" s="15">
        <v>25548</v>
      </c>
      <c r="E27" s="15">
        <v>26338</v>
      </c>
      <c r="F27" s="15">
        <v>19470</v>
      </c>
      <c r="G27" s="16">
        <f>IF(AND(F69&lt;&gt;0,19470&lt;&gt;0),IF(100*19470/(F69-0)&lt;0.005,"*",100*19470/(F69-0)),0)</f>
        <v>2.2554744779219513</v>
      </c>
    </row>
    <row r="28" spans="1:7" x14ac:dyDescent="0.2">
      <c r="A28" s="9" t="s">
        <v>116</v>
      </c>
      <c r="B28" s="15">
        <v>27266</v>
      </c>
      <c r="C28" s="15">
        <v>836</v>
      </c>
      <c r="D28" s="15">
        <v>27027</v>
      </c>
      <c r="E28" s="15">
        <v>27863</v>
      </c>
      <c r="F28" s="15">
        <v>20597</v>
      </c>
      <c r="G28" s="16">
        <f>IF(AND(F69&lt;&gt;0,20597&lt;&gt;0),IF(100*20597/(F69-0)&lt;0.005,"*",100*20597/(F69-0)),0)</f>
        <v>2.3860301911534894</v>
      </c>
    </row>
    <row r="29" spans="1:7" x14ac:dyDescent="0.2">
      <c r="A29" s="9" t="s">
        <v>117</v>
      </c>
      <c r="B29" s="15">
        <v>16955</v>
      </c>
      <c r="C29" s="15">
        <v>520</v>
      </c>
      <c r="D29" s="15">
        <v>16807</v>
      </c>
      <c r="E29" s="15">
        <v>17327</v>
      </c>
      <c r="F29" s="15">
        <v>12808</v>
      </c>
      <c r="G29" s="16">
        <f>IF(AND(F69&lt;&gt;0,12808&lt;&gt;0),IF(100*12808/(F69-0)&lt;0.005,"*",100*12808/(F69-0)),0)</f>
        <v>1.4837245564059762</v>
      </c>
    </row>
    <row r="30" spans="1:7" x14ac:dyDescent="0.2">
      <c r="A30" s="9" t="s">
        <v>118</v>
      </c>
      <c r="B30" s="15">
        <v>11957</v>
      </c>
      <c r="C30" s="15">
        <v>367</v>
      </c>
      <c r="D30" s="15">
        <v>11852</v>
      </c>
      <c r="E30" s="15">
        <v>12219</v>
      </c>
      <c r="F30" s="15">
        <v>9033</v>
      </c>
      <c r="G30" s="16">
        <f>IF(AND(F69&lt;&gt;0,9033&lt;&gt;0),IF(100*9033/(F69-0)&lt;0.005,"*",100*9033/(F69-0)),0)</f>
        <v>1.0464150466907545</v>
      </c>
    </row>
    <row r="31" spans="1:7" x14ac:dyDescent="0.2">
      <c r="A31" s="9" t="s">
        <v>119</v>
      </c>
      <c r="B31" s="15">
        <v>19582</v>
      </c>
      <c r="C31" s="15">
        <v>600</v>
      </c>
      <c r="D31" s="15">
        <v>19411</v>
      </c>
      <c r="E31" s="15">
        <v>20011</v>
      </c>
      <c r="F31" s="15">
        <v>14793</v>
      </c>
      <c r="G31" s="16">
        <f>IF(AND(F69&lt;&gt;0,14793&lt;&gt;0),IF(100*14793/(F69-0)&lt;0.005,"*",100*14793/(F69-0)),0)</f>
        <v>1.7136740601900067</v>
      </c>
    </row>
    <row r="32" spans="1:7" x14ac:dyDescent="0.2">
      <c r="A32" s="9" t="s">
        <v>120</v>
      </c>
      <c r="B32" s="15">
        <v>11107</v>
      </c>
      <c r="C32" s="15">
        <v>341</v>
      </c>
      <c r="D32" s="15">
        <v>11010</v>
      </c>
      <c r="E32" s="15">
        <v>11351</v>
      </c>
      <c r="F32" s="15">
        <v>8391</v>
      </c>
      <c r="G32" s="16">
        <f>IF(AND(F69&lt;&gt;0,8391&lt;&gt;0),IF(100*8391/(F69-0)&lt;0.005,"*",100*8391/(F69-0)),0)</f>
        <v>0.97204346914448359</v>
      </c>
    </row>
    <row r="33" spans="1:7" x14ac:dyDescent="0.2">
      <c r="A33" s="9" t="s">
        <v>121</v>
      </c>
      <c r="B33" s="15">
        <v>10914</v>
      </c>
      <c r="C33" s="15">
        <v>341</v>
      </c>
      <c r="D33" s="15">
        <v>11010</v>
      </c>
      <c r="E33" s="15">
        <v>11351</v>
      </c>
      <c r="F33" s="15">
        <v>8391</v>
      </c>
      <c r="G33" s="16">
        <f>IF(AND(F69&lt;&gt;0,8391&lt;&gt;0),IF(100*8391/(F69-0)&lt;0.005,"*",100*8391/(F69-0)),0)</f>
        <v>0.97204346914448359</v>
      </c>
    </row>
    <row r="34" spans="1:7" x14ac:dyDescent="0.2">
      <c r="A34" s="9" t="s">
        <v>122</v>
      </c>
      <c r="B34" s="15">
        <v>12876</v>
      </c>
      <c r="C34" s="15">
        <v>395</v>
      </c>
      <c r="D34" s="15">
        <v>12763</v>
      </c>
      <c r="E34" s="15">
        <v>13158</v>
      </c>
      <c r="F34" s="15">
        <v>9727</v>
      </c>
      <c r="G34" s="16">
        <f>IF(AND(F69&lt;&gt;0,9727&lt;&gt;0),IF(100*9727/(F69-0)&lt;0.005,"*",100*9727/(F69-0)),0)</f>
        <v>1.1268104903311158</v>
      </c>
    </row>
    <row r="35" spans="1:7" x14ac:dyDescent="0.2">
      <c r="A35" s="9" t="s">
        <v>123</v>
      </c>
      <c r="B35" s="15">
        <v>11108</v>
      </c>
      <c r="C35" s="15">
        <v>341</v>
      </c>
      <c r="D35" s="15">
        <v>11010</v>
      </c>
      <c r="E35" s="15">
        <v>11351</v>
      </c>
      <c r="F35" s="15">
        <v>8391</v>
      </c>
      <c r="G35" s="16">
        <f>IF(AND(F69&lt;&gt;0,8391&lt;&gt;0),IF(100*8391/(F69-0)&lt;0.005,"*",100*8391/(F69-0)),0)</f>
        <v>0.97204346914448359</v>
      </c>
    </row>
    <row r="36" spans="1:7" x14ac:dyDescent="0.2">
      <c r="A36" s="9" t="s">
        <v>124</v>
      </c>
      <c r="B36" s="15">
        <v>18957</v>
      </c>
      <c r="C36" s="15">
        <v>581</v>
      </c>
      <c r="D36" s="15">
        <v>18791</v>
      </c>
      <c r="E36" s="15">
        <v>19372</v>
      </c>
      <c r="F36" s="15">
        <v>14321</v>
      </c>
      <c r="G36" s="16">
        <f>IF(AND(F69&lt;&gt;0,14321&lt;&gt;0),IF(100*14321/(F69-0)&lt;0.005,"*",100*14321/(F69-0)),0)</f>
        <v>1.6589958910282623</v>
      </c>
    </row>
    <row r="37" spans="1:7" x14ac:dyDescent="0.2">
      <c r="A37" s="9" t="s">
        <v>125</v>
      </c>
      <c r="B37" s="15">
        <v>13400</v>
      </c>
      <c r="C37" s="15">
        <v>341</v>
      </c>
      <c r="D37" s="15">
        <v>11010</v>
      </c>
      <c r="E37" s="15">
        <v>11351</v>
      </c>
      <c r="F37" s="15">
        <v>8391</v>
      </c>
      <c r="G37" s="16">
        <f>IF(AND(F69&lt;&gt;0,8391&lt;&gt;0),IF(100*8391/(F69-0)&lt;0.005,"*",100*8391/(F69-0)),0)</f>
        <v>0.97204346914448359</v>
      </c>
    </row>
    <row r="38" spans="1:7" x14ac:dyDescent="0.2">
      <c r="A38" s="9" t="s">
        <v>126</v>
      </c>
      <c r="B38" s="15">
        <v>45363</v>
      </c>
      <c r="C38" s="15">
        <v>1391</v>
      </c>
      <c r="D38" s="15">
        <v>44964</v>
      </c>
      <c r="E38" s="15">
        <v>46355</v>
      </c>
      <c r="F38" s="15">
        <v>34267</v>
      </c>
      <c r="G38" s="16">
        <f>IF(AND(F69&lt;&gt;0,34267&lt;&gt;0),IF(100*34267/(F69-0)&lt;0.005,"*",100*34267/(F69-0)),0)</f>
        <v>3.9696119124268883</v>
      </c>
    </row>
    <row r="39" spans="1:7" x14ac:dyDescent="0.2">
      <c r="A39" s="9" t="s">
        <v>127</v>
      </c>
      <c r="B39" s="15">
        <v>34111</v>
      </c>
      <c r="C39" s="15">
        <v>1046</v>
      </c>
      <c r="D39" s="15">
        <v>33811</v>
      </c>
      <c r="E39" s="15">
        <v>34857</v>
      </c>
      <c r="F39" s="15">
        <v>25767</v>
      </c>
      <c r="G39" s="16">
        <f>IF(AND(F69&lt;&gt;0,25767&lt;&gt;0),IF(100*25767/(F69-0)&lt;0.005,"*",100*25767/(F69-0)),0)</f>
        <v>2.9849414932005613</v>
      </c>
    </row>
    <row r="40" spans="1:7" x14ac:dyDescent="0.2">
      <c r="A40" s="9" t="s">
        <v>128</v>
      </c>
      <c r="B40" s="15">
        <v>11107</v>
      </c>
      <c r="C40" s="15">
        <v>341</v>
      </c>
      <c r="D40" s="15">
        <v>11010</v>
      </c>
      <c r="E40" s="15">
        <v>11351</v>
      </c>
      <c r="F40" s="15">
        <v>8391</v>
      </c>
      <c r="G40" s="16">
        <f>IF(AND(F69&lt;&gt;0,8391&lt;&gt;0),IF(100*8391/(F69-0)&lt;0.005,"*",100*8391/(F69-0)),0)</f>
        <v>0.97204346914448359</v>
      </c>
    </row>
    <row r="41" spans="1:7" x14ac:dyDescent="0.2">
      <c r="A41" s="9" t="s">
        <v>129</v>
      </c>
      <c r="B41" s="15">
        <v>27935</v>
      </c>
      <c r="C41" s="15">
        <v>856</v>
      </c>
      <c r="D41" s="15">
        <v>27690</v>
      </c>
      <c r="E41" s="15">
        <v>28546</v>
      </c>
      <c r="F41" s="15">
        <v>21103</v>
      </c>
      <c r="G41" s="16">
        <f>IF(AND(F69&lt;&gt;0,21103&lt;&gt;0),IF(100*21103/(F69-0)&lt;0.005,"*",100*21103/(F69-0)),0)</f>
        <v>2.4446470419921389</v>
      </c>
    </row>
    <row r="42" spans="1:7" x14ac:dyDescent="0.2">
      <c r="A42" s="9" t="s">
        <v>130</v>
      </c>
      <c r="B42" s="15">
        <v>16031</v>
      </c>
      <c r="C42" s="15">
        <v>483</v>
      </c>
      <c r="D42" s="15">
        <v>15609</v>
      </c>
      <c r="E42" s="15">
        <v>16092</v>
      </c>
      <c r="F42" s="15">
        <v>11896</v>
      </c>
      <c r="G42" s="16">
        <f>IF(AND(F69&lt;&gt;0,11896&lt;&gt;0),IF(100*11896/(F69-0)&lt;0.005,"*",100*11896/(F69-0)),0)</f>
        <v>1.3780752126019278</v>
      </c>
    </row>
    <row r="43" spans="1:7" x14ac:dyDescent="0.2">
      <c r="A43" s="9" t="s">
        <v>131</v>
      </c>
      <c r="B43" s="15">
        <v>14654</v>
      </c>
      <c r="C43" s="15">
        <v>448</v>
      </c>
      <c r="D43" s="15">
        <v>14486</v>
      </c>
      <c r="E43" s="15">
        <v>14934</v>
      </c>
      <c r="F43" s="15">
        <v>11040</v>
      </c>
      <c r="G43" s="16">
        <f>IF(AND(F69&lt;&gt;0,11040&lt;&gt;0),IF(100*11040/(F69-0)&lt;0.005,"*",100*11040/(F69-0)),0)</f>
        <v>1.2789131092069002</v>
      </c>
    </row>
    <row r="44" spans="1:7" x14ac:dyDescent="0.2">
      <c r="A44" s="9" t="s">
        <v>132</v>
      </c>
      <c r="B44" s="15">
        <v>34202</v>
      </c>
      <c r="C44" s="15">
        <v>1049</v>
      </c>
      <c r="D44" s="15">
        <v>33902</v>
      </c>
      <c r="E44" s="15">
        <v>34951</v>
      </c>
      <c r="F44" s="15">
        <v>25837</v>
      </c>
      <c r="G44" s="16">
        <f>IF(AND(F69&lt;&gt;0,25837&lt;&gt;0),IF(100*25837/(F69-0)&lt;0.005,"*",100*25837/(F69-0)),0)</f>
        <v>2.9930505437118367</v>
      </c>
    </row>
    <row r="45" spans="1:7" x14ac:dyDescent="0.2">
      <c r="A45" s="9" t="s">
        <v>133</v>
      </c>
      <c r="B45" s="15">
        <v>11107</v>
      </c>
      <c r="C45" s="15">
        <v>341</v>
      </c>
      <c r="D45" s="15">
        <v>11010</v>
      </c>
      <c r="E45" s="15">
        <v>11351</v>
      </c>
      <c r="F45" s="15">
        <v>8391</v>
      </c>
      <c r="G45" s="16">
        <f>IF(AND(F69&lt;&gt;0,8391&lt;&gt;0),IF(100*8391/(F69-0)&lt;0.005,"*",100*8391/(F69-0)),0)</f>
        <v>0.97204346914448359</v>
      </c>
    </row>
    <row r="46" spans="1:7" x14ac:dyDescent="0.2">
      <c r="A46" s="9" t="s">
        <v>134</v>
      </c>
      <c r="B46" s="15">
        <v>14385</v>
      </c>
      <c r="C46" s="15">
        <v>441</v>
      </c>
      <c r="D46" s="15">
        <v>14259</v>
      </c>
      <c r="E46" s="15">
        <v>14700</v>
      </c>
      <c r="F46" s="15">
        <v>10867</v>
      </c>
      <c r="G46" s="16">
        <f>IF(AND(F69&lt;&gt;0,10867&lt;&gt;0),IF(100*10867/(F69-0)&lt;0.005,"*",100*10867/(F69-0)),0)</f>
        <v>1.258872170086176</v>
      </c>
    </row>
    <row r="47" spans="1:7" x14ac:dyDescent="0.2">
      <c r="A47" s="9" t="s">
        <v>135</v>
      </c>
      <c r="B47" s="15">
        <v>11107</v>
      </c>
      <c r="C47" s="15">
        <v>341</v>
      </c>
      <c r="D47" s="15">
        <v>11010</v>
      </c>
      <c r="E47" s="15">
        <v>11351</v>
      </c>
      <c r="F47" s="15">
        <v>8391</v>
      </c>
      <c r="G47" s="16">
        <f>IF(AND(F69&lt;&gt;0,8391&lt;&gt;0),IF(100*8391/(F69-0)&lt;0.005,"*",100*8391/(F69-0)),0)</f>
        <v>0.97204346914448359</v>
      </c>
    </row>
    <row r="48" spans="1:7" x14ac:dyDescent="0.2">
      <c r="A48" s="9" t="s">
        <v>136</v>
      </c>
      <c r="B48" s="15">
        <v>19293</v>
      </c>
      <c r="C48" s="15">
        <v>591</v>
      </c>
      <c r="D48" s="15">
        <v>19125</v>
      </c>
      <c r="E48" s="15">
        <v>19716</v>
      </c>
      <c r="F48" s="15">
        <v>14575</v>
      </c>
      <c r="G48" s="16">
        <f>IF(AND(F69&lt;&gt;0,14575&lt;&gt;0),IF(100*14575/(F69-0)&lt;0.005,"*",100*14575/(F69-0)),0)</f>
        <v>1.6884201600263196</v>
      </c>
    </row>
    <row r="49" spans="1:7" x14ac:dyDescent="0.2">
      <c r="A49" s="9" t="s">
        <v>137</v>
      </c>
      <c r="B49" s="15">
        <v>87040</v>
      </c>
      <c r="C49" s="15">
        <v>2668</v>
      </c>
      <c r="D49" s="15">
        <v>86276</v>
      </c>
      <c r="E49" s="15">
        <v>88944</v>
      </c>
      <c r="F49" s="15">
        <v>65750</v>
      </c>
      <c r="G49" s="16">
        <f>IF(AND(F69&lt;&gt;0,65750&lt;&gt;0),IF(100*65750/(F69-0)&lt;0.005,"*",100*65750/(F69-0)),0)</f>
        <v>7.6167153016624711</v>
      </c>
    </row>
    <row r="50" spans="1:7" x14ac:dyDescent="0.2">
      <c r="A50" s="9" t="s">
        <v>138</v>
      </c>
      <c r="B50" s="15">
        <v>11107</v>
      </c>
      <c r="C50" s="15">
        <v>341</v>
      </c>
      <c r="D50" s="15">
        <v>11010</v>
      </c>
      <c r="E50" s="15">
        <v>11351</v>
      </c>
      <c r="F50" s="15">
        <v>8391</v>
      </c>
      <c r="G50" s="16">
        <f>IF(AND(F69&lt;&gt;0,8391&lt;&gt;0),IF(100*8391/(F69-0)&lt;0.005,"*",100*8391/(F69-0)),0)</f>
        <v>0.97204346914448359</v>
      </c>
    </row>
    <row r="51" spans="1:7" x14ac:dyDescent="0.2">
      <c r="A51" s="9" t="s">
        <v>139</v>
      </c>
      <c r="B51" s="15">
        <v>11107</v>
      </c>
      <c r="C51" s="15">
        <v>341</v>
      </c>
      <c r="D51" s="15">
        <v>11010</v>
      </c>
      <c r="E51" s="15">
        <v>11351</v>
      </c>
      <c r="F51" s="15">
        <v>8391</v>
      </c>
      <c r="G51" s="16">
        <f>IF(AND(F69&lt;&gt;0,8391&lt;&gt;0),IF(100*8391/(F69-0)&lt;0.005,"*",100*8391/(F69-0)),0)</f>
        <v>0.97204346914448359</v>
      </c>
    </row>
    <row r="52" spans="1:7" x14ac:dyDescent="0.2">
      <c r="A52" s="9" t="s">
        <v>140</v>
      </c>
      <c r="B52" s="15">
        <v>18123</v>
      </c>
      <c r="C52" s="15">
        <v>556</v>
      </c>
      <c r="D52" s="15">
        <v>17964</v>
      </c>
      <c r="E52" s="15">
        <v>18520</v>
      </c>
      <c r="F52" s="15">
        <v>13690</v>
      </c>
      <c r="G52" s="16">
        <f>IF(AND(F69&lt;&gt;0,13690&lt;&gt;0),IF(100*13690/(F69-0)&lt;0.005,"*",100*13690/(F69-0)),0)</f>
        <v>1.5858985928480491</v>
      </c>
    </row>
    <row r="53" spans="1:7" x14ac:dyDescent="0.2">
      <c r="A53" s="9" t="s">
        <v>141</v>
      </c>
      <c r="B53" s="15">
        <v>24815</v>
      </c>
      <c r="C53" s="15">
        <v>761</v>
      </c>
      <c r="D53" s="15">
        <v>24597</v>
      </c>
      <c r="E53" s="15">
        <v>25358</v>
      </c>
      <c r="F53" s="15">
        <v>18745</v>
      </c>
      <c r="G53" s="16">
        <f>IF(AND(F69&lt;&gt;0,18745&lt;&gt;0),IF(100*18745/(F69-0)&lt;0.005,"*",100*18745/(F69-0)),0)</f>
        <v>2.1714878833408826</v>
      </c>
    </row>
    <row r="54" spans="1:7" x14ac:dyDescent="0.2">
      <c r="A54" s="9" t="s">
        <v>142</v>
      </c>
      <c r="B54" s="15">
        <v>11107</v>
      </c>
      <c r="C54" s="15">
        <v>341</v>
      </c>
      <c r="D54" s="15">
        <v>11010</v>
      </c>
      <c r="E54" s="15">
        <v>11351</v>
      </c>
      <c r="F54" s="15">
        <v>8391</v>
      </c>
      <c r="G54" s="16">
        <f>IF(AND(F69&lt;&gt;0,8391&lt;&gt;0),IF(100*8391/(F69-0)&lt;0.005,"*",100*8391/(F69-0)),0)</f>
        <v>0.97204346914448359</v>
      </c>
    </row>
    <row r="55" spans="1:7" x14ac:dyDescent="0.2">
      <c r="A55" s="9" t="s">
        <v>143</v>
      </c>
      <c r="B55" s="15">
        <v>18931</v>
      </c>
      <c r="C55" s="15">
        <v>580</v>
      </c>
      <c r="D55" s="15">
        <v>18766</v>
      </c>
      <c r="E55" s="15">
        <v>19346</v>
      </c>
      <c r="F55" s="15">
        <v>14301</v>
      </c>
      <c r="G55" s="16">
        <f>IF(AND(F69&lt;&gt;0,14301&lt;&gt;0),IF(100*14301/(F69-0)&lt;0.005,"*",100*14301/(F69-0)),0)</f>
        <v>1.6566790194536121</v>
      </c>
    </row>
    <row r="56" spans="1:7" x14ac:dyDescent="0.2">
      <c r="A56" s="9" t="s">
        <v>144</v>
      </c>
      <c r="B56" s="15">
        <v>0</v>
      </c>
      <c r="C56" s="15">
        <v>341</v>
      </c>
      <c r="D56" s="15">
        <v>11010</v>
      </c>
      <c r="E56" s="15">
        <v>11351</v>
      </c>
      <c r="F56" s="15">
        <v>8391</v>
      </c>
      <c r="G56" s="16">
        <f>IF(AND(F69&lt;&gt;0,8391&lt;&gt;0),IF(100*8391/(F69-0)&lt;0.005,"*",100*8391/(F69-0)),0)</f>
        <v>0.97204346914448359</v>
      </c>
    </row>
    <row r="57" spans="1:7" x14ac:dyDescent="0.2">
      <c r="A57" s="9" t="s">
        <v>145</v>
      </c>
      <c r="B57" s="15">
        <v>4184</v>
      </c>
      <c r="C57" s="15">
        <v>128</v>
      </c>
      <c r="D57" s="15">
        <v>4148</v>
      </c>
      <c r="E57" s="15">
        <v>4276</v>
      </c>
      <c r="F57" s="15">
        <v>3161</v>
      </c>
      <c r="G57" s="16">
        <f>IF(AND(F69&lt;&gt;0,3161&lt;&gt;0),IF(100*3161/(F69-0)&lt;0.005,"*",100*3161/(F69-0)),0)</f>
        <v>0.36618155237346117</v>
      </c>
    </row>
    <row r="58" spans="1:7" x14ac:dyDescent="0.2">
      <c r="A58" s="9" t="s">
        <v>146</v>
      </c>
      <c r="B58" s="15">
        <v>4349</v>
      </c>
      <c r="C58" s="15">
        <v>119</v>
      </c>
      <c r="D58" s="15">
        <v>3856</v>
      </c>
      <c r="E58" s="15">
        <v>3975</v>
      </c>
      <c r="F58" s="15">
        <v>2938</v>
      </c>
      <c r="G58" s="16">
        <f>IF(AND(F69&lt;&gt;0,2938&lt;&gt;0),IF(100*2938/(F69-0)&lt;0.005,"*",100*2938/(F69-0)),0)</f>
        <v>0.34034843431611161</v>
      </c>
    </row>
    <row r="59" spans="1:7" x14ac:dyDescent="0.2">
      <c r="A59" s="9" t="s">
        <v>147</v>
      </c>
      <c r="B59" s="15">
        <v>5559</v>
      </c>
      <c r="C59" s="15">
        <v>100</v>
      </c>
      <c r="D59" s="15">
        <v>3247</v>
      </c>
      <c r="E59" s="15">
        <v>3347</v>
      </c>
      <c r="F59" s="15">
        <v>2474</v>
      </c>
      <c r="G59" s="16">
        <f>IF(AND(F69&lt;&gt;0,2474&lt;&gt;0),IF(100*2474/(F69-0)&lt;0.005,"*",100*2474/(F69-0)),0)</f>
        <v>0.28659701378422742</v>
      </c>
    </row>
    <row r="60" spans="1:7" x14ac:dyDescent="0.2">
      <c r="A60" s="9" t="s">
        <v>148</v>
      </c>
      <c r="B60" s="15">
        <v>8241</v>
      </c>
      <c r="C60" s="15">
        <v>341</v>
      </c>
      <c r="D60" s="15">
        <v>11010</v>
      </c>
      <c r="E60" s="15">
        <v>11351</v>
      </c>
      <c r="F60" s="15">
        <v>8391</v>
      </c>
      <c r="G60" s="16">
        <f>IF(AND(F69&lt;&gt;0,8391&lt;&gt;0),IF(100*8391/(F69-0)&lt;0.005,"*",100*8391/(F69-0)),0)</f>
        <v>0.97204346914448359</v>
      </c>
    </row>
    <row r="61" spans="1:7" x14ac:dyDescent="0.2">
      <c r="A61" s="9" t="s">
        <v>149</v>
      </c>
      <c r="B61" s="15">
        <v>0</v>
      </c>
      <c r="C61" s="15">
        <v>0</v>
      </c>
      <c r="D61" s="15">
        <v>0</v>
      </c>
      <c r="E61" s="15">
        <v>0</v>
      </c>
      <c r="F61" s="15">
        <v>0</v>
      </c>
      <c r="G61" s="16">
        <f>IF(AND(F69&lt;&gt;0,0&lt;&gt;0),IF(100*0/(F69-0)&lt;0.005,"*",100*0/(F69-0)),0)</f>
        <v>0</v>
      </c>
    </row>
    <row r="62" spans="1:7" x14ac:dyDescent="0.2">
      <c r="A62" s="9" t="s">
        <v>150</v>
      </c>
      <c r="B62" s="15">
        <v>4084</v>
      </c>
      <c r="C62" s="15">
        <v>163</v>
      </c>
      <c r="D62" s="15">
        <v>5265</v>
      </c>
      <c r="E62" s="15">
        <v>5428</v>
      </c>
      <c r="F62" s="15">
        <v>4013</v>
      </c>
      <c r="G62" s="16">
        <f>IF(AND(F69&lt;&gt;0,4013&lt;&gt;0),IF(100*4013/(F69-0)&lt;0.005,"*",100*4013/(F69-0)),0)</f>
        <v>0.46488028145355886</v>
      </c>
    </row>
    <row r="63" spans="1:7" x14ac:dyDescent="0.2">
      <c r="A63" s="9" t="s">
        <v>151</v>
      </c>
      <c r="B63" s="15">
        <v>11171</v>
      </c>
      <c r="C63" s="15">
        <v>698</v>
      </c>
      <c r="D63" s="15">
        <v>22567</v>
      </c>
      <c r="E63" s="15">
        <v>23265</v>
      </c>
      <c r="F63" s="15">
        <v>20000</v>
      </c>
      <c r="G63" s="16">
        <f>IF(AND(F69&lt;&gt;0,20000&lt;&gt;0),IF(100*20000/(F69-0)&lt;0.005,"*",100*20000/(F69-0)),0)</f>
        <v>2.3168715746501816</v>
      </c>
    </row>
    <row r="64" spans="1:7" x14ac:dyDescent="0.2">
      <c r="A64" s="9" t="s">
        <v>152</v>
      </c>
      <c r="B64" s="15">
        <v>0</v>
      </c>
      <c r="C64" s="15">
        <v>0</v>
      </c>
      <c r="D64" s="15">
        <v>0</v>
      </c>
      <c r="E64" s="15">
        <v>0</v>
      </c>
      <c r="F64" s="15">
        <v>0</v>
      </c>
      <c r="G64" s="16">
        <v>0</v>
      </c>
    </row>
    <row r="65" spans="1:7" ht="25.5" x14ac:dyDescent="0.2">
      <c r="A65" s="9" t="s">
        <v>327</v>
      </c>
      <c r="B65" s="21" t="s">
        <v>332</v>
      </c>
      <c r="C65" s="15">
        <v>88</v>
      </c>
      <c r="D65" s="15">
        <v>2838</v>
      </c>
      <c r="E65" s="15">
        <v>2926</v>
      </c>
      <c r="F65" s="15">
        <v>2158</v>
      </c>
      <c r="G65" s="16">
        <f>IF(AND(F69&lt;&gt;0,2158&lt;&gt;0),IF(100*2158/(F69-0)&lt;0.005,"*",100*2158/(F69-0)),0)</f>
        <v>0.24999044290475456</v>
      </c>
    </row>
    <row r="66" spans="1:7" ht="15" x14ac:dyDescent="0.2">
      <c r="A66" s="9" t="s">
        <v>333</v>
      </c>
      <c r="B66" s="21" t="s">
        <v>334</v>
      </c>
      <c r="C66" s="15">
        <v>60</v>
      </c>
      <c r="D66" s="15">
        <v>1940</v>
      </c>
      <c r="E66" s="15">
        <v>2000</v>
      </c>
      <c r="F66" s="15">
        <v>2000</v>
      </c>
      <c r="G66" s="16">
        <f>IF(AND(F69&lt;&gt;0,2000&lt;&gt;0),IF(100*2000/(F69-0)&lt;0.005,"*",100*2000/(F69-0)),0)</f>
        <v>0.23168715746501814</v>
      </c>
    </row>
    <row r="67" spans="1:7" ht="15" x14ac:dyDescent="0.2">
      <c r="A67" s="9" t="s">
        <v>325</v>
      </c>
      <c r="B67" s="21" t="s">
        <v>335</v>
      </c>
      <c r="C67" s="15">
        <v>0</v>
      </c>
      <c r="D67" s="15">
        <v>0</v>
      </c>
      <c r="E67" s="15">
        <v>0</v>
      </c>
      <c r="F67" s="15">
        <v>0</v>
      </c>
      <c r="G67" s="16">
        <f>IF(AND(F69&lt;&gt;0,0&lt;&gt;0),IF(100*0/(F69-0)&lt;0.005,"*",100*0/(F69-0)),0)</f>
        <v>0</v>
      </c>
    </row>
    <row r="68" spans="1:7" ht="15" x14ac:dyDescent="0.2">
      <c r="A68" s="9" t="s">
        <v>336</v>
      </c>
      <c r="B68" s="21" t="s">
        <v>337</v>
      </c>
      <c r="C68" s="15">
        <v>0</v>
      </c>
      <c r="D68" s="15">
        <v>0</v>
      </c>
      <c r="E68" s="15">
        <v>0</v>
      </c>
      <c r="F68" s="15">
        <v>0</v>
      </c>
      <c r="G68" s="16">
        <f>IF(AND(F69&lt;&gt;0,0&lt;&gt;0),IF(100*0/(F69-0)&lt;0.005,"*",100*0/(F69-0)),0)</f>
        <v>0</v>
      </c>
    </row>
    <row r="69" spans="1:7" ht="15" customHeight="1" x14ac:dyDescent="0.2">
      <c r="A69" s="17" t="s">
        <v>93</v>
      </c>
      <c r="B69" s="18">
        <f>23944+11107+25480+16711+98940+21946+11107+11107+12207+43725+26175+11107+11107+41908+16978+17348+12887+18303+16625+11107+20348+25774+27266+16955+11957+19582+11107+10914+12876+11108+18957+13400+45363+34111+11107+27935+16031+14654+34202+11107+14385+11107+19293+87040+11107+11107+18123+24815+11107+18931+0+4184+4349+5559+8241+0+4084+11171+0+3561+2000+3369+55+0</f>
        <v>1128161</v>
      </c>
      <c r="C69" s="18">
        <f>734+341+612+512+3004+673+341+341+341+1340+802+341+341+1285+521+539+395+561+510+341+624+790+836+520+367+600+341+341+395+341+581+341+1391+1046+341+856+483+448+1049+341+441+341+591+2668+341+341+556+761+341+580+341+128+119+100+341+0+163+698+0+88+60+0+0+0</f>
        <v>34906</v>
      </c>
      <c r="D69" s="18">
        <f>23734+11010+19802+16565+97126+21754+11010+11010+11010+43342+25946+11010+11010+41540+16830+17443+12774+18143+16479+11010+20169+25548+27027+16807+11852+19411+11010+11010+12763+11010+18791+11010+44964+33811+11010+27690+15609+14486+33902+11010+14259+11010+19125+86276+11010+11010+17964+24597+11010+18766+11010+4148+3856+3247+11010+0+5265+22567+0+2838+1940+0+0+0</f>
        <v>1128346</v>
      </c>
      <c r="E69" s="18">
        <f>SUM(C69:D69)</f>
        <v>1163252</v>
      </c>
      <c r="F69" s="18">
        <f>18088+8391+15090+12624+74020+16579+8391+8391+8391+33030+19773+8391+8391+31658+12826+13293+9735+13827+12559+8391+15371+19470+20597+12808+9033+14793+8391+8391+9727+8391+14321+8391+34267+25767+8391+21103+11896+11040+25837+8391+10867+8391+14575+65750+8391+8391+13690+18745+8391+14301+8391+3161+2938+2474+8391+0+4013+20000+0+2158+2000+0+0+0</f>
        <v>863233</v>
      </c>
      <c r="G69" s="19" t="s">
        <v>338</v>
      </c>
    </row>
    <row r="70" spans="1:7" ht="33.75" customHeight="1" x14ac:dyDescent="0.2">
      <c r="A70" s="66" t="s">
        <v>396</v>
      </c>
      <c r="B70" s="66"/>
      <c r="C70" s="66"/>
      <c r="D70" s="66"/>
      <c r="E70" s="66"/>
      <c r="F70" s="66"/>
      <c r="G70" s="66"/>
    </row>
    <row r="71" spans="1:7" ht="69" customHeight="1" x14ac:dyDescent="0.2">
      <c r="A71" s="66" t="s">
        <v>339</v>
      </c>
      <c r="B71" s="66"/>
      <c r="C71" s="66"/>
      <c r="D71" s="66"/>
      <c r="E71" s="66"/>
      <c r="F71" s="66"/>
      <c r="G71" s="66"/>
    </row>
    <row r="72" spans="1:7" ht="29.25" customHeight="1" x14ac:dyDescent="0.2">
      <c r="A72" s="66" t="s">
        <v>340</v>
      </c>
      <c r="B72" s="66"/>
      <c r="C72" s="66"/>
      <c r="D72" s="66"/>
      <c r="E72" s="66"/>
      <c r="F72" s="66"/>
      <c r="G72" s="66"/>
    </row>
    <row r="73" spans="1:7" ht="20.25" customHeight="1" x14ac:dyDescent="0.2">
      <c r="A73" s="66" t="s">
        <v>341</v>
      </c>
      <c r="B73" s="66"/>
      <c r="C73" s="66"/>
      <c r="D73" s="66"/>
      <c r="E73" s="66"/>
      <c r="F73" s="66"/>
      <c r="G73" s="66"/>
    </row>
    <row r="74" spans="1:7" ht="15" customHeight="1" x14ac:dyDescent="0.2">
      <c r="A74" s="66" t="s">
        <v>342</v>
      </c>
      <c r="B74" s="66"/>
      <c r="C74" s="66"/>
      <c r="D74" s="66"/>
      <c r="E74" s="66"/>
      <c r="F74" s="66"/>
      <c r="G74" s="66"/>
    </row>
  </sheetData>
  <mergeCells count="9">
    <mergeCell ref="A71:G71"/>
    <mergeCell ref="A72:G72"/>
    <mergeCell ref="A73:G73"/>
    <mergeCell ref="A74:G74"/>
    <mergeCell ref="A4:A5"/>
    <mergeCell ref="B4:B5"/>
    <mergeCell ref="F4:F5"/>
    <mergeCell ref="G4:G5"/>
    <mergeCell ref="A70:G70"/>
  </mergeCells>
  <pageMargins left="0.7" right="0.7" top="0.75" bottom="0.75" header="0.3" footer="0.3"/>
  <pageSetup scale="6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79</v>
      </c>
      <c r="B1" s="8"/>
      <c r="C1" s="8"/>
      <c r="D1" s="8"/>
      <c r="E1" s="8"/>
      <c r="F1" s="8"/>
      <c r="G1" s="10" t="s">
        <v>343</v>
      </c>
    </row>
    <row r="2" spans="1:7" x14ac:dyDescent="0.2">
      <c r="A2" s="11" t="s">
        <v>397</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18188</v>
      </c>
      <c r="C6" s="15">
        <v>0</v>
      </c>
      <c r="D6" s="15">
        <v>19079</v>
      </c>
      <c r="E6" s="15">
        <v>19079</v>
      </c>
      <c r="F6" s="15">
        <v>17973</v>
      </c>
      <c r="G6" s="16">
        <f>IF(AND(F65&lt;&gt;0,17973&lt;&gt;0),IF(100*17973/(F65-0)&lt;0.005,"*",100*17973/(F65-0)),0)</f>
        <v>0.9805461990945783</v>
      </c>
    </row>
    <row r="7" spans="1:7" x14ac:dyDescent="0.2">
      <c r="A7" s="9" t="s">
        <v>95</v>
      </c>
      <c r="B7" s="15">
        <v>73769</v>
      </c>
      <c r="C7" s="15">
        <v>0</v>
      </c>
      <c r="D7" s="15">
        <v>77384</v>
      </c>
      <c r="E7" s="15">
        <v>77384</v>
      </c>
      <c r="F7" s="15">
        <v>72895</v>
      </c>
      <c r="G7" s="16">
        <f>IF(AND(F65&lt;&gt;0,72895&lt;&gt;0),IF(100*72895/(F65-0)&lt;0.005,"*",100*72895/(F65-0)),0)</f>
        <v>3.9769050900238847</v>
      </c>
    </row>
    <row r="8" spans="1:7" x14ac:dyDescent="0.2">
      <c r="A8" s="9" t="s">
        <v>96</v>
      </c>
      <c r="B8" s="15">
        <v>44606</v>
      </c>
      <c r="C8" s="15">
        <v>0</v>
      </c>
      <c r="D8" s="15">
        <v>46792</v>
      </c>
      <c r="E8" s="15">
        <v>46792</v>
      </c>
      <c r="F8" s="15">
        <v>44078</v>
      </c>
      <c r="G8" s="16">
        <f>IF(AND(F65&lt;&gt;0,44078&lt;&gt;0),IF(100*44078/(F65-0)&lt;0.005,"*",100*44078/(F65-0)),0)</f>
        <v>2.4047468627213497</v>
      </c>
    </row>
    <row r="9" spans="1:7" x14ac:dyDescent="0.2">
      <c r="A9" s="9" t="s">
        <v>97</v>
      </c>
      <c r="B9" s="15">
        <v>22711</v>
      </c>
      <c r="C9" s="15">
        <v>0</v>
      </c>
      <c r="D9" s="15">
        <v>23824</v>
      </c>
      <c r="E9" s="15">
        <v>23824</v>
      </c>
      <c r="F9" s="15">
        <v>22442</v>
      </c>
      <c r="G9" s="16">
        <f>IF(AND(F65&lt;&gt;0,22442&lt;&gt;0),IF(100*22442/(F65-0)&lt;0.005,"*",100*22442/(F65-0)),0)</f>
        <v>1.2243597507416972</v>
      </c>
    </row>
    <row r="10" spans="1:7" x14ac:dyDescent="0.2">
      <c r="A10" s="9" t="s">
        <v>98</v>
      </c>
      <c r="B10" s="15">
        <v>260243</v>
      </c>
      <c r="C10" s="15">
        <v>0</v>
      </c>
      <c r="D10" s="15">
        <v>272995</v>
      </c>
      <c r="E10" s="15">
        <v>272995</v>
      </c>
      <c r="F10" s="15">
        <v>257161</v>
      </c>
      <c r="G10" s="16">
        <f>IF(AND(F65&lt;&gt;0,257161&lt;&gt;0),IF(100*257161/(F65-0)&lt;0.005,"*",100*257161/(F65-0)),0)</f>
        <v>14.029835926409662</v>
      </c>
    </row>
    <row r="11" spans="1:7" x14ac:dyDescent="0.2">
      <c r="A11" s="9" t="s">
        <v>99</v>
      </c>
      <c r="B11" s="15">
        <v>26850</v>
      </c>
      <c r="C11" s="15">
        <v>0</v>
      </c>
      <c r="D11" s="15">
        <v>28166</v>
      </c>
      <c r="E11" s="15">
        <v>28166</v>
      </c>
      <c r="F11" s="15">
        <v>26532</v>
      </c>
      <c r="G11" s="16">
        <f>IF(AND(F65&lt;&gt;0,26532&lt;&gt;0),IF(100*26532/(F65-0)&lt;0.005,"*",100*26532/(F65-0)),0)</f>
        <v>1.447496341978376</v>
      </c>
    </row>
    <row r="12" spans="1:7" x14ac:dyDescent="0.2">
      <c r="A12" s="9" t="s">
        <v>100</v>
      </c>
      <c r="B12" s="15">
        <v>15310</v>
      </c>
      <c r="C12" s="15">
        <v>0</v>
      </c>
      <c r="D12" s="15">
        <v>16060</v>
      </c>
      <c r="E12" s="15">
        <v>16060</v>
      </c>
      <c r="F12" s="15">
        <v>15129</v>
      </c>
      <c r="G12" s="16">
        <f>IF(AND(F65&lt;&gt;0,15129&lt;&gt;0),IF(100*15129/(F65-0)&lt;0.005,"*",100*15129/(F65-0)),0)</f>
        <v>0.82538716108061394</v>
      </c>
    </row>
    <row r="13" spans="1:7" x14ac:dyDescent="0.2">
      <c r="A13" s="9" t="s">
        <v>101</v>
      </c>
      <c r="B13" s="15">
        <v>2680</v>
      </c>
      <c r="C13" s="15">
        <v>0</v>
      </c>
      <c r="D13" s="15">
        <v>2811</v>
      </c>
      <c r="E13" s="15">
        <v>2811</v>
      </c>
      <c r="F13" s="15">
        <v>2648</v>
      </c>
      <c r="G13" s="16">
        <f>IF(AND(F65&lt;&gt;0,2648&lt;&gt;0),IF(100*2648/(F65-0)&lt;0.005,"*",100*2648/(F65-0)),0)</f>
        <v>0.14446593975421149</v>
      </c>
    </row>
    <row r="14" spans="1:7" x14ac:dyDescent="0.2">
      <c r="A14" s="9" t="s">
        <v>102</v>
      </c>
      <c r="B14" s="15">
        <v>7424</v>
      </c>
      <c r="C14" s="15">
        <v>0</v>
      </c>
      <c r="D14" s="15">
        <v>7788</v>
      </c>
      <c r="E14" s="15">
        <v>7788</v>
      </c>
      <c r="F14" s="15">
        <v>7336</v>
      </c>
      <c r="G14" s="16">
        <f>IF(AND(F65&lt;&gt;0,7336&lt;&gt;0),IF(100*7336/(F65-0)&lt;0.005,"*",100*7336/(F65-0)),0)</f>
        <v>0.40022739200789109</v>
      </c>
    </row>
    <row r="15" spans="1:7" x14ac:dyDescent="0.2">
      <c r="A15" s="9" t="s">
        <v>103</v>
      </c>
      <c r="B15" s="15">
        <v>76489</v>
      </c>
      <c r="C15" s="15">
        <v>0</v>
      </c>
      <c r="D15" s="15">
        <v>80237</v>
      </c>
      <c r="E15" s="15">
        <v>80237</v>
      </c>
      <c r="F15" s="15">
        <v>75583</v>
      </c>
      <c r="G15" s="16">
        <f>IF(AND(F65&lt;&gt;0,75583&lt;&gt;0),IF(100*75583/(F65-0)&lt;0.005,"*",100*75583/(F65-0)),0)</f>
        <v>4.1235532947290663</v>
      </c>
    </row>
    <row r="16" spans="1:7" x14ac:dyDescent="0.2">
      <c r="A16" s="9" t="s">
        <v>104</v>
      </c>
      <c r="B16" s="15">
        <v>58487</v>
      </c>
      <c r="C16" s="15">
        <v>0</v>
      </c>
      <c r="D16" s="15">
        <v>61353</v>
      </c>
      <c r="E16" s="15">
        <v>61353</v>
      </c>
      <c r="F16" s="15">
        <v>57794</v>
      </c>
      <c r="G16" s="16">
        <f>IF(AND(F65&lt;&gt;0,57794&lt;&gt;0),IF(100*57794/(F65-0)&lt;0.005,"*",100*57794/(F65-0)),0)</f>
        <v>3.1530455144089498</v>
      </c>
    </row>
    <row r="17" spans="1:7" x14ac:dyDescent="0.2">
      <c r="A17" s="9" t="s">
        <v>105</v>
      </c>
      <c r="B17" s="15">
        <v>5378</v>
      </c>
      <c r="C17" s="15">
        <v>0</v>
      </c>
      <c r="D17" s="15">
        <v>5642</v>
      </c>
      <c r="E17" s="15">
        <v>5642</v>
      </c>
      <c r="F17" s="15">
        <v>5314</v>
      </c>
      <c r="G17" s="16">
        <f>IF(AND(F65&lt;&gt;0,5314&lt;&gt;0),IF(100*5314/(F65-0)&lt;0.005,"*",100*5314/(F65-0)),0)</f>
        <v>0.28991389873635948</v>
      </c>
    </row>
    <row r="18" spans="1:7" x14ac:dyDescent="0.2">
      <c r="A18" s="9" t="s">
        <v>106</v>
      </c>
      <c r="B18" s="15">
        <v>10391</v>
      </c>
      <c r="C18" s="15">
        <v>0</v>
      </c>
      <c r="D18" s="15">
        <v>10900</v>
      </c>
      <c r="E18" s="15">
        <v>10900</v>
      </c>
      <c r="F18" s="15">
        <v>10268</v>
      </c>
      <c r="G18" s="16">
        <f>IF(AND(F65&lt;&gt;0,10268&lt;&gt;0),IF(100*10268/(F65-0)&lt;0.005,"*",100*10268/(F65-0)),0)</f>
        <v>0.56018741291398932</v>
      </c>
    </row>
    <row r="19" spans="1:7" x14ac:dyDescent="0.2">
      <c r="A19" s="9" t="s">
        <v>107</v>
      </c>
      <c r="B19" s="15">
        <v>77303</v>
      </c>
      <c r="C19" s="15">
        <v>0</v>
      </c>
      <c r="D19" s="15">
        <v>81091</v>
      </c>
      <c r="E19" s="15">
        <v>81091</v>
      </c>
      <c r="F19" s="15">
        <v>76388</v>
      </c>
      <c r="G19" s="16">
        <f>IF(AND(F65&lt;&gt;0,76388&lt;&gt;0),IF(100*76388/(F65-0)&lt;0.005,"*",100*76388/(F65-0)),0)</f>
        <v>4.1674713768673373</v>
      </c>
    </row>
    <row r="20" spans="1:7" x14ac:dyDescent="0.2">
      <c r="A20" s="9" t="s">
        <v>108</v>
      </c>
      <c r="B20" s="15">
        <v>46694</v>
      </c>
      <c r="C20" s="15">
        <v>0</v>
      </c>
      <c r="D20" s="15">
        <v>48982</v>
      </c>
      <c r="E20" s="15">
        <v>48982</v>
      </c>
      <c r="F20" s="15">
        <v>46141</v>
      </c>
      <c r="G20" s="16">
        <f>IF(AND(F65&lt;&gt;0,46141&lt;&gt;0),IF(100*46141/(F65-0)&lt;0.005,"*",100*46141/(F65-0)),0)</f>
        <v>2.5172971775676256</v>
      </c>
    </row>
    <row r="21" spans="1:7" x14ac:dyDescent="0.2">
      <c r="A21" s="9" t="s">
        <v>109</v>
      </c>
      <c r="B21" s="15">
        <v>14769</v>
      </c>
      <c r="C21" s="15">
        <v>0</v>
      </c>
      <c r="D21" s="15">
        <v>15493</v>
      </c>
      <c r="E21" s="15">
        <v>15493</v>
      </c>
      <c r="F21" s="15">
        <v>14594</v>
      </c>
      <c r="G21" s="16">
        <f>IF(AND(F65&lt;&gt;0,14594&lt;&gt;0),IF(100*14594/(F65-0)&lt;0.005,"*",100*14594/(F65-0)),0)</f>
        <v>0.79619936736139074</v>
      </c>
    </row>
    <row r="22" spans="1:7" x14ac:dyDescent="0.2">
      <c r="A22" s="9" t="s">
        <v>110</v>
      </c>
      <c r="B22" s="15">
        <v>16685</v>
      </c>
      <c r="C22" s="15">
        <v>0</v>
      </c>
      <c r="D22" s="15">
        <v>17503</v>
      </c>
      <c r="E22" s="15">
        <v>17503</v>
      </c>
      <c r="F22" s="15">
        <v>16487</v>
      </c>
      <c r="G22" s="16">
        <f>IF(AND(F65&lt;&gt;0,16487&lt;&gt;0),IF(100*16487/(F65-0)&lt;0.005,"*",100*16487/(F65-0)),0)</f>
        <v>0.89947505616604417</v>
      </c>
    </row>
    <row r="23" spans="1:7" x14ac:dyDescent="0.2">
      <c r="A23" s="9" t="s">
        <v>111</v>
      </c>
      <c r="B23" s="15">
        <v>23550</v>
      </c>
      <c r="C23" s="15">
        <v>0</v>
      </c>
      <c r="D23" s="15">
        <v>24704</v>
      </c>
      <c r="E23" s="15">
        <v>24704</v>
      </c>
      <c r="F23" s="15">
        <v>23271</v>
      </c>
      <c r="G23" s="16">
        <f>IF(AND(F65&lt;&gt;0,23271&lt;&gt;0),IF(100*23271/(F65-0)&lt;0.005,"*",100*23271/(F65-0)),0)</f>
        <v>1.2695871918505497</v>
      </c>
    </row>
    <row r="24" spans="1:7" x14ac:dyDescent="0.2">
      <c r="A24" s="9" t="s">
        <v>112</v>
      </c>
      <c r="B24" s="15">
        <v>33329</v>
      </c>
      <c r="C24" s="15">
        <v>0</v>
      </c>
      <c r="D24" s="15">
        <v>34962</v>
      </c>
      <c r="E24" s="15">
        <v>34962</v>
      </c>
      <c r="F24" s="15">
        <v>32934</v>
      </c>
      <c r="G24" s="16">
        <f>IF(AND(F65&lt;&gt;0,32934&lt;&gt;0),IF(100*32934/(F65-0)&lt;0.005,"*",100*32934/(F65-0)),0)</f>
        <v>1.7967678473811184</v>
      </c>
    </row>
    <row r="25" spans="1:7" x14ac:dyDescent="0.2">
      <c r="A25" s="9" t="s">
        <v>113</v>
      </c>
      <c r="B25" s="15">
        <v>6304</v>
      </c>
      <c r="C25" s="15">
        <v>0</v>
      </c>
      <c r="D25" s="15">
        <v>6613</v>
      </c>
      <c r="E25" s="15">
        <v>6613</v>
      </c>
      <c r="F25" s="15">
        <v>6229</v>
      </c>
      <c r="G25" s="16">
        <f>IF(AND(F65&lt;&gt;0,6229&lt;&gt;0),IF(100*6229/(F65-0)&lt;0.005,"*",100*6229/(F65-0)),0)</f>
        <v>0.33983320948979734</v>
      </c>
    </row>
    <row r="26" spans="1:7" x14ac:dyDescent="0.2">
      <c r="A26" s="9" t="s">
        <v>114</v>
      </c>
      <c r="B26" s="15">
        <v>21648</v>
      </c>
      <c r="C26" s="15">
        <v>0</v>
      </c>
      <c r="D26" s="15">
        <v>22709</v>
      </c>
      <c r="E26" s="15">
        <v>22709</v>
      </c>
      <c r="F26" s="15">
        <v>21392</v>
      </c>
      <c r="G26" s="16">
        <f>IF(AND(F65&lt;&gt;0,21392&lt;&gt;0),IF(100*21392/(F65-0)&lt;0.005,"*",100*21392/(F65-0)),0)</f>
        <v>1.1670752957787358</v>
      </c>
    </row>
    <row r="27" spans="1:7" x14ac:dyDescent="0.2">
      <c r="A27" s="9" t="s">
        <v>115</v>
      </c>
      <c r="B27" s="15">
        <v>29135</v>
      </c>
      <c r="C27" s="15">
        <v>0</v>
      </c>
      <c r="D27" s="15">
        <v>30563</v>
      </c>
      <c r="E27" s="15">
        <v>30563</v>
      </c>
      <c r="F27" s="15">
        <v>28790</v>
      </c>
      <c r="G27" s="16">
        <f>IF(AND(F65&lt;&gt;0,28790&lt;&gt;0),IF(100*28790/(F65-0)&lt;0.005,"*",100*28790/(F65-0)),0)</f>
        <v>1.5706851984606303</v>
      </c>
    </row>
    <row r="28" spans="1:7" x14ac:dyDescent="0.2">
      <c r="A28" s="9" t="s">
        <v>116</v>
      </c>
      <c r="B28" s="15">
        <v>44503</v>
      </c>
      <c r="C28" s="15">
        <v>0</v>
      </c>
      <c r="D28" s="15">
        <v>46684</v>
      </c>
      <c r="E28" s="15">
        <v>46684</v>
      </c>
      <c r="F28" s="15">
        <v>43976</v>
      </c>
      <c r="G28" s="16">
        <f>IF(AND(F65&lt;&gt;0,43976&lt;&gt;0),IF(100*43976/(F65-0)&lt;0.005,"*",100*43976/(F65-0)),0)</f>
        <v>2.3991820870963765</v>
      </c>
    </row>
    <row r="29" spans="1:7" x14ac:dyDescent="0.2">
      <c r="A29" s="9" t="s">
        <v>117</v>
      </c>
      <c r="B29" s="15">
        <v>27422</v>
      </c>
      <c r="C29" s="15">
        <v>0</v>
      </c>
      <c r="D29" s="15">
        <v>28766</v>
      </c>
      <c r="E29" s="15">
        <v>28766</v>
      </c>
      <c r="F29" s="15">
        <v>27097</v>
      </c>
      <c r="G29" s="16">
        <f>IF(AND(F65&lt;&gt;0,27097&lt;&gt;0),IF(100*27097/(F65-0)&lt;0.005,"*",100*27097/(F65-0)),0)</f>
        <v>1.4783208344108267</v>
      </c>
    </row>
    <row r="30" spans="1:7" x14ac:dyDescent="0.2">
      <c r="A30" s="9" t="s">
        <v>118</v>
      </c>
      <c r="B30" s="15">
        <v>17747</v>
      </c>
      <c r="C30" s="15">
        <v>0</v>
      </c>
      <c r="D30" s="15">
        <v>18617</v>
      </c>
      <c r="E30" s="15">
        <v>18617</v>
      </c>
      <c r="F30" s="15">
        <v>17537</v>
      </c>
      <c r="G30" s="16">
        <f>IF(AND(F65&lt;&gt;0,17537&lt;&gt;0),IF(100*17537/(F65-0)&lt;0.005,"*",100*17537/(F65-0)),0)</f>
        <v>0.9567595111290057</v>
      </c>
    </row>
    <row r="31" spans="1:7" x14ac:dyDescent="0.2">
      <c r="A31" s="9" t="s">
        <v>119</v>
      </c>
      <c r="B31" s="15">
        <v>21665</v>
      </c>
      <c r="C31" s="15">
        <v>0</v>
      </c>
      <c r="D31" s="15">
        <v>22727</v>
      </c>
      <c r="E31" s="15">
        <v>22727</v>
      </c>
      <c r="F31" s="15">
        <v>21408</v>
      </c>
      <c r="G31" s="16">
        <f>IF(AND(F65&lt;&gt;0,21408&lt;&gt;0),IF(100*21408/(F65-0)&lt;0.005,"*",100*21408/(F65-0)),0)</f>
        <v>1.1679482017591238</v>
      </c>
    </row>
    <row r="32" spans="1:7" x14ac:dyDescent="0.2">
      <c r="A32" s="9" t="s">
        <v>120</v>
      </c>
      <c r="B32" s="15">
        <v>4582</v>
      </c>
      <c r="C32" s="15">
        <v>0</v>
      </c>
      <c r="D32" s="15">
        <v>4807</v>
      </c>
      <c r="E32" s="15">
        <v>4807</v>
      </c>
      <c r="F32" s="15">
        <v>4528</v>
      </c>
      <c r="G32" s="16">
        <f>IF(AND(F65&lt;&gt;0,4528&lt;&gt;0),IF(100*4528/(F65-0)&lt;0.005,"*",100*4528/(F65-0)),0)</f>
        <v>0.24703239244979971</v>
      </c>
    </row>
    <row r="33" spans="1:7" x14ac:dyDescent="0.2">
      <c r="A33" s="9" t="s">
        <v>121</v>
      </c>
      <c r="B33" s="15">
        <v>8260</v>
      </c>
      <c r="C33" s="15">
        <v>0</v>
      </c>
      <c r="D33" s="15">
        <v>8665</v>
      </c>
      <c r="E33" s="15">
        <v>8665</v>
      </c>
      <c r="F33" s="15">
        <v>8162</v>
      </c>
      <c r="G33" s="16">
        <f>IF(AND(F65&lt;&gt;0,8162&lt;&gt;0),IF(100*8162/(F65-0)&lt;0.005,"*",100*8162/(F65-0)),0)</f>
        <v>0.44529116324542078</v>
      </c>
    </row>
    <row r="34" spans="1:7" x14ac:dyDescent="0.2">
      <c r="A34" s="9" t="s">
        <v>122</v>
      </c>
      <c r="B34" s="15">
        <v>4711</v>
      </c>
      <c r="C34" s="15">
        <v>0</v>
      </c>
      <c r="D34" s="15">
        <v>4942</v>
      </c>
      <c r="E34" s="15">
        <v>4942</v>
      </c>
      <c r="F34" s="15">
        <v>4655</v>
      </c>
      <c r="G34" s="16">
        <f>IF(AND(F65&lt;&gt;0,4655&lt;&gt;0),IF(100*4655/(F65-0)&lt;0.005,"*",100*4655/(F65-0)),0)</f>
        <v>0.25396108366912934</v>
      </c>
    </row>
    <row r="35" spans="1:7" x14ac:dyDescent="0.2">
      <c r="A35" s="9" t="s">
        <v>123</v>
      </c>
      <c r="B35" s="15">
        <v>2559</v>
      </c>
      <c r="C35" s="15">
        <v>0</v>
      </c>
      <c r="D35" s="15">
        <v>2684</v>
      </c>
      <c r="E35" s="15">
        <v>2684</v>
      </c>
      <c r="F35" s="15">
        <v>2529</v>
      </c>
      <c r="G35" s="16">
        <f>IF(AND(F65&lt;&gt;0,2529&lt;&gt;0),IF(100*2529/(F65-0)&lt;0.005,"*",100*2529/(F65-0)),0)</f>
        <v>0.13797370152507585</v>
      </c>
    </row>
    <row r="36" spans="1:7" x14ac:dyDescent="0.2">
      <c r="A36" s="9" t="s">
        <v>124</v>
      </c>
      <c r="B36" s="15">
        <v>40956</v>
      </c>
      <c r="C36" s="15">
        <v>0</v>
      </c>
      <c r="D36" s="15">
        <v>42963</v>
      </c>
      <c r="E36" s="15">
        <v>42963</v>
      </c>
      <c r="F36" s="15">
        <v>40471</v>
      </c>
      <c r="G36" s="16">
        <f>IF(AND(F65&lt;&gt;0,40471&lt;&gt;0),IF(100*40471/(F65-0)&lt;0.005,"*",100*40471/(F65-0)),0)</f>
        <v>2.2079611207676337</v>
      </c>
    </row>
    <row r="37" spans="1:7" x14ac:dyDescent="0.2">
      <c r="A37" s="9" t="s">
        <v>125</v>
      </c>
      <c r="B37" s="15">
        <v>29742</v>
      </c>
      <c r="C37" s="15">
        <v>0</v>
      </c>
      <c r="D37" s="15">
        <v>31199</v>
      </c>
      <c r="E37" s="15">
        <v>31199</v>
      </c>
      <c r="F37" s="15">
        <v>29390</v>
      </c>
      <c r="G37" s="16">
        <f>IF(AND(F65&lt;&gt;0,29390&lt;&gt;0),IF(100*29390/(F65-0)&lt;0.005,"*",100*29390/(F65-0)),0)</f>
        <v>1.6034191727251796</v>
      </c>
    </row>
    <row r="38" spans="1:7" x14ac:dyDescent="0.2">
      <c r="A38" s="9" t="s">
        <v>126</v>
      </c>
      <c r="B38" s="15">
        <v>60331</v>
      </c>
      <c r="C38" s="15">
        <v>0</v>
      </c>
      <c r="D38" s="15">
        <v>63287</v>
      </c>
      <c r="E38" s="15">
        <v>63287</v>
      </c>
      <c r="F38" s="15">
        <v>59617</v>
      </c>
      <c r="G38" s="16">
        <f>IF(AND(F65&lt;&gt;0,59617&lt;&gt;0),IF(100*59617/(F65-0)&lt;0.005,"*",100*59617/(F65-0)),0)</f>
        <v>3.2525022395494059</v>
      </c>
    </row>
    <row r="39" spans="1:7" x14ac:dyDescent="0.2">
      <c r="A39" s="9" t="s">
        <v>127</v>
      </c>
      <c r="B39" s="15">
        <v>60597</v>
      </c>
      <c r="C39" s="15">
        <v>0</v>
      </c>
      <c r="D39" s="15">
        <v>63566</v>
      </c>
      <c r="E39" s="15">
        <v>63566</v>
      </c>
      <c r="F39" s="15">
        <v>59879</v>
      </c>
      <c r="G39" s="16">
        <f>IF(AND(F65&lt;&gt;0,59879&lt;&gt;0),IF(100*59879/(F65-0)&lt;0.005,"*",100*59879/(F65-0)),0)</f>
        <v>3.266796074978259</v>
      </c>
    </row>
    <row r="40" spans="1:7" x14ac:dyDescent="0.2">
      <c r="A40" s="9" t="s">
        <v>128</v>
      </c>
      <c r="B40" s="15">
        <v>3338</v>
      </c>
      <c r="C40" s="15">
        <v>0</v>
      </c>
      <c r="D40" s="15">
        <v>3502</v>
      </c>
      <c r="E40" s="15">
        <v>3502</v>
      </c>
      <c r="F40" s="15">
        <v>3298</v>
      </c>
      <c r="G40" s="16">
        <f>IF(AND(F65&lt;&gt;0,3298&lt;&gt;0),IF(100*3298/(F65-0)&lt;0.005,"*",100*3298/(F65-0)),0)</f>
        <v>0.17992774520747337</v>
      </c>
    </row>
    <row r="41" spans="1:7" x14ac:dyDescent="0.2">
      <c r="A41" s="9" t="s">
        <v>129</v>
      </c>
      <c r="B41" s="15">
        <v>57842</v>
      </c>
      <c r="C41" s="15">
        <v>0</v>
      </c>
      <c r="D41" s="15">
        <v>60676</v>
      </c>
      <c r="E41" s="15">
        <v>60676</v>
      </c>
      <c r="F41" s="15">
        <v>57157</v>
      </c>
      <c r="G41" s="16">
        <f>IF(AND(F65&lt;&gt;0,57157&lt;&gt;0),IF(100*57157/(F65-0)&lt;0.005,"*",100*57157/(F65-0)),0)</f>
        <v>3.1182929450647534</v>
      </c>
    </row>
    <row r="42" spans="1:7" x14ac:dyDescent="0.2">
      <c r="A42" s="9" t="s">
        <v>130</v>
      </c>
      <c r="B42" s="15">
        <v>35915</v>
      </c>
      <c r="C42" s="15">
        <v>0</v>
      </c>
      <c r="D42" s="15">
        <v>37675</v>
      </c>
      <c r="E42" s="15">
        <v>37675</v>
      </c>
      <c r="F42" s="15">
        <v>35490</v>
      </c>
      <c r="G42" s="16">
        <f>IF(AND(F65&lt;&gt;0,35490&lt;&gt;0),IF(100*35490/(F65-0)&lt;0.005,"*",100*35490/(F65-0)),0)</f>
        <v>1.936214577748099</v>
      </c>
    </row>
    <row r="43" spans="1:7" x14ac:dyDescent="0.2">
      <c r="A43" s="9" t="s">
        <v>131</v>
      </c>
      <c r="B43" s="15">
        <v>23574</v>
      </c>
      <c r="C43" s="15">
        <v>0</v>
      </c>
      <c r="D43" s="15">
        <v>24729</v>
      </c>
      <c r="E43" s="15">
        <v>24729</v>
      </c>
      <c r="F43" s="15">
        <v>23295</v>
      </c>
      <c r="G43" s="16">
        <f>IF(AND(F65&lt;&gt;0,23295&lt;&gt;0),IF(100*23295/(F65-0)&lt;0.005,"*",100*23295/(F65-0)),0)</f>
        <v>1.2708965508211318</v>
      </c>
    </row>
    <row r="44" spans="1:7" x14ac:dyDescent="0.2">
      <c r="A44" s="9" t="s">
        <v>132</v>
      </c>
      <c r="B44" s="15">
        <v>54314</v>
      </c>
      <c r="C44" s="15">
        <v>0</v>
      </c>
      <c r="D44" s="15">
        <v>56975</v>
      </c>
      <c r="E44" s="15">
        <v>56975</v>
      </c>
      <c r="F44" s="15">
        <v>53671</v>
      </c>
      <c r="G44" s="16">
        <f>IF(AND(F65&lt;&gt;0,53671&lt;&gt;0),IF(100*53671/(F65-0)&lt;0.005,"*",100*53671/(F65-0)),0)</f>
        <v>2.928108554587721</v>
      </c>
    </row>
    <row r="45" spans="1:7" x14ac:dyDescent="0.2">
      <c r="A45" s="9" t="s">
        <v>133</v>
      </c>
      <c r="B45" s="15">
        <v>7543</v>
      </c>
      <c r="C45" s="15">
        <v>0</v>
      </c>
      <c r="D45" s="15">
        <v>7913</v>
      </c>
      <c r="E45" s="15">
        <v>7913</v>
      </c>
      <c r="F45" s="15">
        <v>7454</v>
      </c>
      <c r="G45" s="16">
        <f>IF(AND(F65&lt;&gt;0,7454&lt;&gt;0),IF(100*7454/(F65-0)&lt;0.005,"*",100*7454/(F65-0)),0)</f>
        <v>0.40666507361325244</v>
      </c>
    </row>
    <row r="46" spans="1:7" x14ac:dyDescent="0.2">
      <c r="A46" s="9" t="s">
        <v>134</v>
      </c>
      <c r="B46" s="15">
        <v>27115</v>
      </c>
      <c r="C46" s="15">
        <v>0</v>
      </c>
      <c r="D46" s="15">
        <v>28444</v>
      </c>
      <c r="E46" s="15">
        <v>28444</v>
      </c>
      <c r="F46" s="15">
        <v>26794</v>
      </c>
      <c r="G46" s="16">
        <f>IF(AND(F65&lt;&gt;0,26794&lt;&gt;0),IF(100*26794/(F65-0)&lt;0.005,"*",100*26794/(F65-0)),0)</f>
        <v>1.4617901774072293</v>
      </c>
    </row>
    <row r="47" spans="1:7" x14ac:dyDescent="0.2">
      <c r="A47" s="9" t="s">
        <v>135</v>
      </c>
      <c r="B47" s="15">
        <v>4543</v>
      </c>
      <c r="C47" s="15">
        <v>0</v>
      </c>
      <c r="D47" s="15">
        <v>4766</v>
      </c>
      <c r="E47" s="15">
        <v>4766</v>
      </c>
      <c r="F47" s="15">
        <v>4489</v>
      </c>
      <c r="G47" s="16">
        <f>IF(AND(F65&lt;&gt;0,4489&lt;&gt;0),IF(100*4489/(F65-0)&lt;0.005,"*",100*4489/(F65-0)),0)</f>
        <v>0.24490468412260402</v>
      </c>
    </row>
    <row r="48" spans="1:7" x14ac:dyDescent="0.2">
      <c r="A48" s="9" t="s">
        <v>136</v>
      </c>
      <c r="B48" s="15">
        <v>51015</v>
      </c>
      <c r="C48" s="15">
        <v>0</v>
      </c>
      <c r="D48" s="15">
        <v>53515</v>
      </c>
      <c r="E48" s="15">
        <v>53515</v>
      </c>
      <c r="F48" s="15">
        <v>50411</v>
      </c>
      <c r="G48" s="16">
        <f>IF(AND(F65&lt;&gt;0,50411&lt;&gt;0),IF(100*50411/(F65-0)&lt;0.005,"*",100*50411/(F65-0)),0)</f>
        <v>2.7502539610836689</v>
      </c>
    </row>
    <row r="49" spans="1:7" x14ac:dyDescent="0.2">
      <c r="A49" s="9" t="s">
        <v>137</v>
      </c>
      <c r="B49" s="15">
        <v>180384</v>
      </c>
      <c r="C49" s="15">
        <v>0</v>
      </c>
      <c r="D49" s="15">
        <v>189223</v>
      </c>
      <c r="E49" s="15">
        <v>189223</v>
      </c>
      <c r="F49" s="15">
        <v>178248</v>
      </c>
      <c r="G49" s="16">
        <f>IF(AND(F65&lt;&gt;0,178248&lt;&gt;0),IF(100*178248/(F65-0)&lt;0.005,"*",100*178248/(F65-0)),0)</f>
        <v>9.7246090745123457</v>
      </c>
    </row>
    <row r="50" spans="1:7" x14ac:dyDescent="0.2">
      <c r="A50" s="9" t="s">
        <v>138</v>
      </c>
      <c r="B50" s="15">
        <v>8577</v>
      </c>
      <c r="C50" s="15">
        <v>0</v>
      </c>
      <c r="D50" s="15">
        <v>8997</v>
      </c>
      <c r="E50" s="15">
        <v>8997</v>
      </c>
      <c r="F50" s="15">
        <v>8475</v>
      </c>
      <c r="G50" s="16">
        <f>IF(AND(F65&lt;&gt;0,8475&lt;&gt;0),IF(100*8475/(F65-0)&lt;0.005,"*",100*8475/(F65-0)),0)</f>
        <v>0.46236738648676073</v>
      </c>
    </row>
    <row r="51" spans="1:7" x14ac:dyDescent="0.2">
      <c r="A51" s="9" t="s">
        <v>139</v>
      </c>
      <c r="B51" s="15">
        <v>3487</v>
      </c>
      <c r="C51" s="15">
        <v>0</v>
      </c>
      <c r="D51" s="15">
        <v>3658</v>
      </c>
      <c r="E51" s="15">
        <v>3658</v>
      </c>
      <c r="F51" s="15">
        <v>3446</v>
      </c>
      <c r="G51" s="16">
        <f>IF(AND(F65&lt;&gt;0,3446&lt;&gt;0),IF(100*3446/(F65-0)&lt;0.005,"*",100*3446/(F65-0)),0)</f>
        <v>0.18800212552606224</v>
      </c>
    </row>
    <row r="52" spans="1:7" x14ac:dyDescent="0.2">
      <c r="A52" s="9" t="s">
        <v>140</v>
      </c>
      <c r="B52" s="15">
        <v>37419</v>
      </c>
      <c r="C52" s="15">
        <v>0</v>
      </c>
      <c r="D52" s="15">
        <v>39253</v>
      </c>
      <c r="E52" s="15">
        <v>39253</v>
      </c>
      <c r="F52" s="15">
        <v>36976</v>
      </c>
      <c r="G52" s="16">
        <f>IF(AND(F65&lt;&gt;0,36976&lt;&gt;0),IF(100*36976/(F65-0)&lt;0.005,"*",100*36976/(F65-0)),0)</f>
        <v>2.0172857206766333</v>
      </c>
    </row>
    <row r="53" spans="1:7" x14ac:dyDescent="0.2">
      <c r="A53" s="9" t="s">
        <v>141</v>
      </c>
      <c r="B53" s="15">
        <v>25730</v>
      </c>
      <c r="C53" s="15">
        <v>0</v>
      </c>
      <c r="D53" s="15">
        <v>26991</v>
      </c>
      <c r="E53" s="15">
        <v>26991</v>
      </c>
      <c r="F53" s="15">
        <v>25425</v>
      </c>
      <c r="G53" s="16">
        <f>IF(AND(F65&lt;&gt;0,25425&lt;&gt;0),IF(100*25425/(F65-0)&lt;0.005,"*",100*25425/(F65-0)),0)</f>
        <v>1.3871021594602821</v>
      </c>
    </row>
    <row r="54" spans="1:7" x14ac:dyDescent="0.2">
      <c r="A54" s="9" t="s">
        <v>142</v>
      </c>
      <c r="B54" s="15">
        <v>11758</v>
      </c>
      <c r="C54" s="15">
        <v>0</v>
      </c>
      <c r="D54" s="15">
        <v>12334</v>
      </c>
      <c r="E54" s="15">
        <v>12334</v>
      </c>
      <c r="F54" s="15">
        <v>11619</v>
      </c>
      <c r="G54" s="16">
        <f>IF(AND(F65&lt;&gt;0,11619&lt;&gt;0),IF(100*11619/(F65-0)&lt;0.005,"*",100*11619/(F65-0)),0)</f>
        <v>0.63389341163299973</v>
      </c>
    </row>
    <row r="55" spans="1:7" x14ac:dyDescent="0.2">
      <c r="A55" s="9" t="s">
        <v>143</v>
      </c>
      <c r="B55" s="15">
        <v>36992</v>
      </c>
      <c r="C55" s="15">
        <v>0</v>
      </c>
      <c r="D55" s="15">
        <v>38805</v>
      </c>
      <c r="E55" s="15">
        <v>38805</v>
      </c>
      <c r="F55" s="15">
        <v>36554</v>
      </c>
      <c r="G55" s="16">
        <f>IF(AND(F65&lt;&gt;0,36554&lt;&gt;0),IF(100*36554/(F65-0)&lt;0.005,"*",100*36554/(F65-0)),0)</f>
        <v>1.9942628254438999</v>
      </c>
    </row>
    <row r="56" spans="1:7" x14ac:dyDescent="0.2">
      <c r="A56" s="9" t="s">
        <v>144</v>
      </c>
      <c r="B56" s="15">
        <v>4428</v>
      </c>
      <c r="C56" s="15">
        <v>0</v>
      </c>
      <c r="D56" s="15">
        <v>4645</v>
      </c>
      <c r="E56" s="15">
        <v>4645</v>
      </c>
      <c r="F56" s="15">
        <v>4376</v>
      </c>
      <c r="G56" s="16">
        <f>IF(AND(F65&lt;&gt;0,4376&lt;&gt;0),IF(100*4376/(F65-0)&lt;0.005,"*",100*4376/(F65-0)),0)</f>
        <v>0.23873978563611387</v>
      </c>
    </row>
    <row r="57" spans="1:7" x14ac:dyDescent="0.2">
      <c r="A57" s="9" t="s">
        <v>145</v>
      </c>
      <c r="B57" s="15">
        <v>820</v>
      </c>
      <c r="C57" s="15">
        <v>0</v>
      </c>
      <c r="D57" s="15">
        <v>860</v>
      </c>
      <c r="E57" s="15">
        <v>860</v>
      </c>
      <c r="F57" s="15">
        <v>810</v>
      </c>
      <c r="G57" s="16">
        <f>IF(AND(F65&lt;&gt;0,810&lt;&gt;0),IF(100*810/(F65-0)&lt;0.005,"*",100*810/(F65-0)),0)</f>
        <v>4.4190865257141734E-2</v>
      </c>
    </row>
    <row r="58" spans="1:7" x14ac:dyDescent="0.2">
      <c r="A58" s="9" t="s">
        <v>146</v>
      </c>
      <c r="B58" s="15">
        <v>851</v>
      </c>
      <c r="C58" s="15">
        <v>0</v>
      </c>
      <c r="D58" s="15">
        <v>893</v>
      </c>
      <c r="E58" s="15">
        <v>893</v>
      </c>
      <c r="F58" s="15">
        <v>841</v>
      </c>
      <c r="G58" s="16">
        <f>IF(AND(F65&lt;&gt;0,841&lt;&gt;0),IF(100*841/(F65-0)&lt;0.005,"*",100*841/(F65-0)),0)</f>
        <v>4.5882120594143455E-2</v>
      </c>
    </row>
    <row r="59" spans="1:7" x14ac:dyDescent="0.2">
      <c r="A59" s="9" t="s">
        <v>147</v>
      </c>
      <c r="B59" s="15">
        <v>695</v>
      </c>
      <c r="C59" s="15">
        <v>0</v>
      </c>
      <c r="D59" s="15">
        <v>729</v>
      </c>
      <c r="E59" s="15">
        <v>729</v>
      </c>
      <c r="F59" s="15">
        <v>687</v>
      </c>
      <c r="G59" s="16">
        <f>IF(AND(F65&lt;&gt;0,687&lt;&gt;0),IF(100*687/(F65-0)&lt;0.005,"*",100*687/(F65-0)),0)</f>
        <v>3.7480400532909103E-2</v>
      </c>
    </row>
    <row r="60" spans="1:7" x14ac:dyDescent="0.2">
      <c r="A60" s="9" t="s">
        <v>148</v>
      </c>
      <c r="B60" s="15">
        <v>27638</v>
      </c>
      <c r="C60" s="15">
        <v>0</v>
      </c>
      <c r="D60" s="15">
        <v>28992</v>
      </c>
      <c r="E60" s="15">
        <v>28992</v>
      </c>
      <c r="F60" s="15">
        <v>27311</v>
      </c>
      <c r="G60" s="16">
        <f>IF(AND(F65&lt;&gt;0,27311&lt;&gt;0),IF(100*27311/(F65-0)&lt;0.005,"*",100*27311/(F65-0)),0)</f>
        <v>1.489995951898516</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3834</v>
      </c>
      <c r="C62" s="15">
        <v>0</v>
      </c>
      <c r="D62" s="15">
        <v>4022</v>
      </c>
      <c r="E62" s="15">
        <v>4022</v>
      </c>
      <c r="F62" s="15">
        <v>3789</v>
      </c>
      <c r="G62" s="16">
        <f>IF(AND(F65&lt;&gt;0,3789&lt;&gt;0),IF(100*3789/(F65-0)&lt;0.005,"*",100*3789/(F65-0)),0)</f>
        <v>0.20671504748062966</v>
      </c>
    </row>
    <row r="63" spans="1:7" x14ac:dyDescent="0.2">
      <c r="A63" s="9" t="s">
        <v>151</v>
      </c>
      <c r="B63" s="15">
        <v>32094</v>
      </c>
      <c r="C63" s="15">
        <v>0</v>
      </c>
      <c r="D63" s="15">
        <v>33667</v>
      </c>
      <c r="E63" s="15">
        <v>33667</v>
      </c>
      <c r="F63" s="15">
        <v>31714</v>
      </c>
      <c r="G63" s="16">
        <f>IF(AND(F65&lt;&gt;0,31714&lt;&gt;0),IF(100*31714/(F65-0)&lt;0.005,"*",100*31714/(F65-0)),0)</f>
        <v>1.7302087663765346</v>
      </c>
    </row>
    <row r="64" spans="1:7" x14ac:dyDescent="0.2">
      <c r="A64" s="9" t="s">
        <v>152</v>
      </c>
      <c r="B64" s="15">
        <v>0</v>
      </c>
      <c r="C64" s="15">
        <v>0</v>
      </c>
      <c r="D64" s="15">
        <v>0</v>
      </c>
      <c r="E64" s="15">
        <v>0</v>
      </c>
      <c r="F64" s="15">
        <v>0</v>
      </c>
      <c r="G64" s="16">
        <v>0</v>
      </c>
    </row>
    <row r="65" spans="1:7" ht="15" customHeight="1" x14ac:dyDescent="0.2">
      <c r="A65" s="17" t="s">
        <v>93</v>
      </c>
      <c r="B65" s="18">
        <f>18188+73769+44606+22711+260243+26850+15310+2680+7424+76489+58487+5378+10391+77303+46694+14769+16685+23550+33329+6304+21648+29135+44503+27422+17747+21665+4582+8260+4711+2559+40956+29742+60331+60597+3338+57842+35915+23574+54314+7543+27115+4543+51015+180384+8577+3487+37419+25730+11758+36992+4428+820+851+695+27638+0+3834+32094+0+0</f>
        <v>1854924</v>
      </c>
      <c r="C65" s="18">
        <f>0+0+0+0+0+0+0+0+0+0+0+0+0+0+0+0+0+0+0+0+0+0+0+0+0+0+0+0+0+0+0+0+0+0+0+0+0+0+0+0+0+0+0+0+0+0+0+0+0+0+0+0+0+0+0+0+0+0+0+0</f>
        <v>0</v>
      </c>
      <c r="D65" s="18">
        <f>19079+77384+46792+23824+272995+28166+16060+2811+7788+80237+61353+5642+10900+81091+48982+15493+17503+24704+34962+6613+22709+30563+46684+28766+18617+22727+4807+8665+4942+2684+42963+31199+63287+63566+3502+60676+37675+24729+56975+7913+28444+4766+53515+189223+8997+3658+39253+26991+12334+38805+4645+860+893+729+28992+0+4022+33667+0+0</f>
        <v>1945822</v>
      </c>
      <c r="E65" s="18">
        <f>SUM(C65:D65)</f>
        <v>1945822</v>
      </c>
      <c r="F65" s="18">
        <f>17973+72895+44078+22442+257161+26532+15129+2648+7336+75583+57794+5314+10268+76388+46141+14594+16487+23271+32934+6229+21392+28790+43976+27097+17537+21408+4528+8162+4655+2529+40471+29390+59617+59879+3298+57157+35490+23295+53671+7454+26794+4489+50411+178248+8475+3446+36976+25425+11619+36554+4376+810+841+687+27311+0+3789+31714+0+0</f>
        <v>1832958</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workbookViewId="0"/>
  </sheetViews>
  <sheetFormatPr defaultRowHeight="12.75" x14ac:dyDescent="0.2"/>
  <cols>
    <col min="1" max="1" width="30.7109375" customWidth="1"/>
    <col min="2" max="7" width="11.7109375" customWidth="1"/>
  </cols>
  <sheetData>
    <row r="1" spans="1:7" x14ac:dyDescent="0.2">
      <c r="A1" s="11" t="s">
        <v>408</v>
      </c>
      <c r="B1" s="12"/>
      <c r="C1" s="12"/>
      <c r="D1" s="12"/>
      <c r="E1" s="12"/>
      <c r="F1" s="12"/>
      <c r="G1" s="12"/>
    </row>
    <row r="2" spans="1:7" x14ac:dyDescent="0.2">
      <c r="A2" s="12" t="s">
        <v>407</v>
      </c>
      <c r="B2" s="12"/>
      <c r="C2" s="12"/>
      <c r="D2" s="12"/>
      <c r="E2" s="12"/>
      <c r="F2" s="12"/>
      <c r="G2" s="12"/>
    </row>
    <row r="3" spans="1:7" x14ac:dyDescent="0.2">
      <c r="A3" s="59" t="s">
        <v>86</v>
      </c>
      <c r="B3" s="59" t="s">
        <v>406</v>
      </c>
      <c r="C3" s="52" t="s">
        <v>405</v>
      </c>
      <c r="D3" s="52"/>
      <c r="E3" s="52"/>
      <c r="F3" s="52"/>
      <c r="G3" s="56" t="s">
        <v>90</v>
      </c>
    </row>
    <row r="4" spans="1:7" x14ac:dyDescent="0.2">
      <c r="A4" s="60"/>
      <c r="B4" s="60"/>
      <c r="C4" s="52" t="s">
        <v>88</v>
      </c>
      <c r="D4" s="52"/>
      <c r="E4" s="52"/>
      <c r="F4" s="63" t="s">
        <v>89</v>
      </c>
      <c r="G4" s="62"/>
    </row>
    <row r="5" spans="1:7" ht="25.5" customHeight="1" x14ac:dyDescent="0.2">
      <c r="A5" s="61"/>
      <c r="B5" s="61"/>
      <c r="C5" s="51" t="s">
        <v>91</v>
      </c>
      <c r="D5" s="51" t="s">
        <v>404</v>
      </c>
      <c r="E5" s="51" t="s">
        <v>93</v>
      </c>
      <c r="F5" s="64"/>
      <c r="G5" s="57"/>
    </row>
    <row r="6" spans="1:7" x14ac:dyDescent="0.2">
      <c r="A6" s="9" t="s">
        <v>94</v>
      </c>
      <c r="B6" s="45">
        <f>(79596+214168+101634+57550+50477+251981+32913+68298+190496+93007+47908+51251+93653+16442+24674+143507+36821+11915+23764+338511+4229615+31458+24097+64421+0+216351+141714+83543+27290+49905+896484+42595+18098+23944+18188+0)/1000</f>
        <v>7796.2690000000002</v>
      </c>
      <c r="C6" s="45">
        <f>(0+36117+17228+0+378+0+0+0+0+0+0+0+0+0+0+0+0+0+0+0+0+0+0+3820+0+5701+11777+2724+383+12940+8098+23006+557+734+0+0)/1000</f>
        <v>123.46299999999999</v>
      </c>
      <c r="D6" s="45">
        <f>(87459+190399+77021+63176+66468+256287+33637+65444+191704+93007+49317+54417+94691+16442+23832+146151+37288+12157+23732+396288+4527550+0+0+41525+0+217900+132508+82314+25837+49109+739657+17355+17994+23734+19079+0)/1000</f>
        <v>7873.4790000000003</v>
      </c>
      <c r="E6" s="45">
        <f t="shared" ref="E6:E37" si="0">SUM(C6:D6)</f>
        <v>7996.942</v>
      </c>
      <c r="F6" s="45">
        <f>(89681+234320+97253+64000+71274+256694+0+71666+191704+83984+49156+0+94691+16442+27961+146151+38380+12586+0+417308+4806730+0+0+1962+0+220080+85118+0+27468+50795+779336+40756+12174+18088+17973+0)/1000</f>
        <v>8023.7309999999998</v>
      </c>
      <c r="G6" s="33">
        <f>IF(AND(F64&lt;&gt;0,F6&lt;&gt;0),IF(100*F6/F64&lt;0.005,"*",100*F6/F64),0)</f>
        <v>1.2097281816244261</v>
      </c>
    </row>
    <row r="7" spans="1:7" x14ac:dyDescent="0.2">
      <c r="A7" s="9" t="s">
        <v>95</v>
      </c>
      <c r="B7" s="45">
        <f>(13011+37883+19990+9199+10245+43993+9790+11287+38805+44397+16473+11020+9253+3545+4316+16991+23883+22878+3625+34629+1608620+1506+7601+5588+0+42520+9376+3087+22995+233235+548878+66527+9703+11107+73769+0)/1000</f>
        <v>3029.7249999999999</v>
      </c>
      <c r="C7" s="45">
        <f>(0+6388+3389+0+77+0+0+0+0+0+0+0+0+0+0+0+0+0+0+0+0+0+0+1726+0+1140+779+101+339+51443+43722+35932+298+341+0+0)/1000</f>
        <v>145.67500000000001</v>
      </c>
      <c r="D7" s="45">
        <f>(14296+33679+15149+10098+13491+45669+9857+10869+39093+44397+16958+11090+9355+3545+4168+17304+24186+23343+3602+30418+1779375+0+0+2904+0+43580+8766+3041+22181+211680+488831+27106+9631+11010+77384+0)/1000</f>
        <v>3066.056</v>
      </c>
      <c r="E7" s="45">
        <f t="shared" si="0"/>
        <v>3211.7310000000002</v>
      </c>
      <c r="F7" s="45">
        <f>(14660+41448+19128+10230+14466+45595+0+11886+39093+40090+16902+0+9355+3545+4890+17304+24894+24168+0+32031+1860202+0+0+1789+0+44016+5631+0+23581+205291+521441+63655+6516+8391+72895+0)/1000</f>
        <v>3183.0929999999998</v>
      </c>
      <c r="G7" s="33">
        <f>IF(AND(F64&lt;&gt;0,F7&lt;&gt;0),IF(100*F7/F64&lt;0.005,"*",100*F7/F64),0)</f>
        <v>0.47991106716207699</v>
      </c>
    </row>
    <row r="8" spans="1:7" x14ac:dyDescent="0.2">
      <c r="A8" s="9" t="s">
        <v>96</v>
      </c>
      <c r="B8" s="45">
        <f>(94391+275636+112669+52512+69742+359591+35422+80625+211326+199407+45663+26702+127028+19827+38130+151262+179805+151270+33868+388596+9903728+16114+38517+88922+0+185802+21484+10345+33452+61054+732343+221679+18166+25480+44606+0)/1000</f>
        <v>14055.164000000001</v>
      </c>
      <c r="C8" s="45">
        <f>(0+46483+19099+0+522+0+0+0+0+0+0+0+0+0+0+0+0+0+0+0+0+0+0+417+0+4903+1785+337+472+16379+52834+119730+336+612+0+0)/1000</f>
        <v>263.90899999999999</v>
      </c>
      <c r="D8" s="45">
        <f>(103715+245045+85384+57645+91836+339922+37147+74903+215703+199407+47005+28519+128436+19827+36830+154047+182083+154347+34157+251666+10102480+0+0+54485+0+187394+20088+10193+32652+69258+713289+90322+10869+19802+46792+0)/1000</f>
        <v>13845.248</v>
      </c>
      <c r="E8" s="45">
        <f t="shared" si="0"/>
        <v>14109.156999999999</v>
      </c>
      <c r="F8" s="45">
        <f>(106351+301572+107813+58398+98476+336332+0+84556+218939+180061+46852+0+128436+19827+43209+154047+187416+159795+0+265344+10321899+0+0+1164+0+189269+12904+0+34713+64592+751526+212108+7354+15090+44078+0)/1000</f>
        <v>14152.120999999999</v>
      </c>
      <c r="G8" s="33">
        <f>IF(AND(F64&lt;&gt;0,F8&lt;&gt;0),IF(100*F8/F64&lt;0.005,"*",100*F8/F64),0)</f>
        <v>2.1336981017258494</v>
      </c>
    </row>
    <row r="9" spans="1:7" x14ac:dyDescent="0.2">
      <c r="A9" s="9" t="s">
        <v>97</v>
      </c>
      <c r="B9" s="45">
        <f>(55905+136776+63026+51422+33141+159313+19979+42832+117333+56546+35125+31138+59182+5300+16595+92082+41223+25390+14602+205813+5394356+7976+9749+42226+0+107477+37340+30535+18507+38312+555817+15263+10606+16711+22711+0)/1000</f>
        <v>7570.3090000000002</v>
      </c>
      <c r="C9" s="45">
        <f>(0+23066+10684+0+248+0+0+0+0+0+0+0+0+0+0+0+0+0+0+0+0+0+0+0+0+2851+3103+996+259+8238+26041+8243+326+512+0+0)/1000</f>
        <v>84.566999999999993</v>
      </c>
      <c r="D9" s="45">
        <f>(61428+121596+47763+56449+43640+157383+20275+39380+118077+56546+36157+30859+59839+5300+16029+93773+41746+25906+14626+167790+4966157+0+0+25205+0+108950+34913+30086+17776+34343+504758+6219+10527+16565+23824+0)/1000</f>
        <v>6993.8850000000002</v>
      </c>
      <c r="E9" s="45">
        <f t="shared" si="0"/>
        <v>7078.4520000000002</v>
      </c>
      <c r="F9" s="45">
        <f>(62989+149646+60309+57186+46795+154958+0+43183+118077+51060+36039+0+59839+5300+18805+93773+42968+26821+0+176690+5078465+0+0+343+0+110040+22427+0+18898+31927+531833+14604+7122+12624+22442+0)/1000</f>
        <v>7055.1629999999996</v>
      </c>
      <c r="G9" s="33">
        <f>IF(AND(F64&lt;&gt;0,F9&lt;&gt;0),IF(100*F9/F64&lt;0.005,"*",100*F9/F64),0)</f>
        <v>1.0636983601586256</v>
      </c>
    </row>
    <row r="10" spans="1:7" x14ac:dyDescent="0.2">
      <c r="A10" s="9" t="s">
        <v>98</v>
      </c>
      <c r="B10" s="45">
        <f>(521342+1511045+953185+460651+931272+1988156+230384+303130+1281755+3637503+663486+191121+533254+85592+215042+1173974+1457008+539646+191791+2825935+83952122+174964+236875+494374+1797+4035488+126382+94885+339561+254658+4052152+1791190+119067+98940+260243+0)/1000</f>
        <v>115727.97</v>
      </c>
      <c r="C10" s="45">
        <f>(0+254819+161578+0+6966+0+0+0+0+0+0+0+0+0+0+0+0+0+0+0+0+0+0+59689+124155+106043+10503+3094+4892+66164+297846+967425+3560+3004+0+0)/1000</f>
        <v>2069.7379999999998</v>
      </c>
      <c r="D10" s="45">
        <f>(572843+1343346+722350+505681+1226301+1963753+229555+303662+1289887+3636708+682993+206353+539166+85592+207711+1195614+1475468+550622+192475+3038425+61753100+0+0+328936+0+4051940+118172+93488+317685+256210+3544252+729812+115092+97126+272995+0)/1000</f>
        <v>91647.312999999995</v>
      </c>
      <c r="E10" s="45">
        <f t="shared" si="0"/>
        <v>93717.050999999992</v>
      </c>
      <c r="F10" s="45">
        <f>(587400+1653225+912100+512282+1314964+1961726+0+312626+1289887+3283873+680760+0+539166+85592+243689+1195614+1518685+570062+0+3199589+59200006+0+0+63762+88219+4094488+75909+0+337731+264362+4391295+1713852+77868+74020+257161+0)/1000</f>
        <v>90499.913</v>
      </c>
      <c r="G10" s="33">
        <f>IF(AND(F64&lt;&gt;0,F10&lt;&gt;0),IF(100*F10/F64&lt;0.005,"*",100*F10/F64),0)</f>
        <v>13.644562011196383</v>
      </c>
    </row>
    <row r="11" spans="1:7" x14ac:dyDescent="0.2">
      <c r="A11" s="9" t="s">
        <v>99</v>
      </c>
      <c r="B11" s="45">
        <f>(48529+134052+64601+26594+58268+152700+23360+44504+167501+135608+60238+53183+62659+10174+29732+103820+68739+15349+27073+270403+5953835+13207+15321+27467+0+302306+31304+16802+34575+81565+730076+151095+12969+21946+26850+0)/1000</f>
        <v>8976.4050000000007</v>
      </c>
      <c r="C11" s="45">
        <f>(0+22606+10951+0+436+0+0+0+0+0+0+0+0+0+0+0+0+0+0+0+0+0+0+3376+0+7925+2601+548+492+17613+22791+81607+398+673+0+0)/1000</f>
        <v>172.017</v>
      </c>
      <c r="D11" s="45">
        <f>(53323+119175+48956+29194+76727+145823+23270+45794+168564+135608+62009+54337+63353+10174+28718+105732+69610+15661+27297+298414+5555426+0+0+33361+0+302881+29270+16554+33292+68741+520865+61563+12872+21754+28166+0)/1000</f>
        <v>8266.4840000000004</v>
      </c>
      <c r="E11" s="45">
        <f t="shared" si="0"/>
        <v>8438.5010000000002</v>
      </c>
      <c r="F11" s="45">
        <f>(54678+146665+61817+29575+82275+144239+0+51029+168564+122451+61806+0+63353+10174+33693+105732+71649+16214+0+314242+5707347+0+0+3501+0+305911+18802+0+35392+69545+549246+144571+8709+16579+26532+0)/1000</f>
        <v>8424.2909999999993</v>
      </c>
      <c r="G11" s="33">
        <f>IF(AND(F64&lt;&gt;0,F11&lt;&gt;0),IF(100*F11/F64&lt;0.005,"*",100*F11/F64),0)</f>
        <v>1.270120126522813</v>
      </c>
    </row>
    <row r="12" spans="1:7" x14ac:dyDescent="0.2">
      <c r="A12" s="9" t="s">
        <v>100</v>
      </c>
      <c r="B12" s="45">
        <f>(32912+106076+42256+18417+56165+125220+18479+23877+139540+265908+51021+80749+32539+18738+16618+66995+76502+43286+17476+81968+4703962+11598+14361+37894+0+437496+77770+35911+44055+17517+535412+301879+19862+11107+15310+0)/1000</f>
        <v>7578.8760000000002</v>
      </c>
      <c r="C12" s="45">
        <f>(0+17888+7163+0+420+0+0+0+0+0+0+0+0+0+0+0+0+0+0+0+0+0+0+11033+0+11517+6463+1171+640+5873+23664+163045+610+341+0+0)/1000</f>
        <v>249.828</v>
      </c>
      <c r="D12" s="45">
        <f>(36163+94303+32023+20217+73958+130932+17954+21669+140425+265908+52521+76052+32900+18738+16052+68231+77471+44166+17468+101405+5092080+0+0+27734+0+440158+72718+35383+43295+18141+484796+122999+19714+11010+16060+0)/1000</f>
        <v>7722.6440000000002</v>
      </c>
      <c r="E12" s="45">
        <f t="shared" si="0"/>
        <v>7972.4720000000007</v>
      </c>
      <c r="F12" s="45">
        <f>(37082+116057+40435+20481+79305+131254+0+23336+140425+240109+52349+0+32900+18738+18832+68231+79740+45726+0+106783+5048291+0+0+11560+0+444562+46711+0+46028+22436+515886+288845+13338+8391+15129+0)/1000</f>
        <v>7712.96</v>
      </c>
      <c r="G12" s="33">
        <f>IF(AND(F64&lt;&gt;0,F12&lt;&gt;0),IF(100*F12/F64&lt;0.005,"*",100*F12/F64),0)</f>
        <v>1.1628736152473125</v>
      </c>
    </row>
    <row r="13" spans="1:7" x14ac:dyDescent="0.2">
      <c r="A13" s="9" t="s">
        <v>101</v>
      </c>
      <c r="B13" s="45">
        <f>(13991+36121+14531+18101+12926+51200+9790+11610+37782+32184+20127+13655+13506+5179+4625+19519+6389+2270+4652+37330+2205737+4924+9179+13154+0+45837+13378+6442+8357+11507+208073+22296+7959+11107+2680+0)/1000</f>
        <v>2936.1179999999999</v>
      </c>
      <c r="C13" s="45">
        <f>(0+6091+2463+0+97+0+0+0+0+0+0+0+0+0+0+0+0+0+0+0+0+0+0+0+0+1197+1112+210+125+2345+0+12042+244+341+0+0)/1000</f>
        <v>26.266999999999999</v>
      </c>
      <c r="D13" s="45">
        <f>(15373+32112+11012+19870+17021+52020+9857+10869+38070+32184+20719+13086+13656+5179+4467+19877+6470+2316+4683+37871+1579215+0+0+6944+0+45759+12509+6347+7988+8851+163745+9084+7900+11010+2811+0)/1000</f>
        <v>2228.875</v>
      </c>
      <c r="E13" s="45">
        <f t="shared" si="0"/>
        <v>2255.1419999999998</v>
      </c>
      <c r="F13" s="45">
        <f>(15764+39520+13905+20130+18252+52070+0+11886+38070+29062+20651+0+13656+5179+5241+19877+6659+2398+0+39880+1607823+0+0+95+0+46217+8035+0+8492+8281+173751+21333+5345+8391+2648+0)/1000</f>
        <v>2242.6109999999999</v>
      </c>
      <c r="G13" s="33">
        <f>IF(AND(F64&lt;&gt;0,F13&lt;&gt;0),IF(100*F13/F64&lt;0.005,"*",100*F13/F64),0)</f>
        <v>0.33811573781834603</v>
      </c>
    </row>
    <row r="14" spans="1:7" x14ac:dyDescent="0.2">
      <c r="A14" s="9" t="s">
        <v>102</v>
      </c>
      <c r="B14" s="45">
        <f>(11392+27747+13210+9881+22139+50946+9790+16144+19667+92304+17881+11151+8269+4567+2912+31914+45952+10055+3328+45825+2124366+10231+59797+13794+0+228962+65722+21968+9901+250+266402+342896+7959+12207+7424+0)/1000</f>
        <v>3626.953</v>
      </c>
      <c r="C14" s="45">
        <f>(0+4679+2239+0+166+0+0+0+0+0+0+0+0+0+0+0+0+0+0+0+0+0+0+0+0+5986+5462+716+216+342+8032+185199+244+341+0+0)/1000</f>
        <v>213.62200000000001</v>
      </c>
      <c r="D14" s="45">
        <f>(12517+24668+10011+10847+29153+50863+9857+14926+20101+92304+18406+11302+8361+4567+2812+32501+46534+10259+3378+49217+2412352+0+0+15044+0+228795+61451+21645+8961+237+155553+139711+7900+11010+7788+0)/1000</f>
        <v>3533.0309999999999</v>
      </c>
      <c r="E14" s="45">
        <f t="shared" si="0"/>
        <v>3746.6529999999998</v>
      </c>
      <c r="F14" s="45">
        <f>(12835+30358+12641+10988+31260+51315+0+16181+20402+83349+18346+0+8361+4567+3299+32501+47897+10622+0+53111+2492380+0+0+205+0+231084+39474+0+9527+244+163892+328091+5345+8391+7336+0)/1000</f>
        <v>3734.002</v>
      </c>
      <c r="G14" s="33">
        <f>IF(AND(F64&lt;&gt;0,F14&lt;&gt;0),IF(100*F14/F64&lt;0.005,"*",100*F14/F64),0)</f>
        <v>0.56297094825860561</v>
      </c>
    </row>
    <row r="15" spans="1:7" x14ac:dyDescent="0.2">
      <c r="A15" s="9" t="s">
        <v>103</v>
      </c>
      <c r="B15" s="45">
        <f>(280843+894540+356466+275577+107267+853680+96873+194899+674522+560484+198123+91512+305215+43027+95591+376991+252213+140628+100721+734065+16934286+142523+45342+177578+675257+984806+133229+71156+84302+203535+2080324+452524+54726+43725+76489+0)/1000</f>
        <v>28793.039000000001</v>
      </c>
      <c r="C15" s="45">
        <f>(0+150853+60426+0+802+0+0+0+0+0+0+0+0+0+0+0+0+0+0+0+0+0+0+35145+157676+25884+11071+2320+1187+41293+100495+244409+1680+1340+0+0)/1000</f>
        <v>834.58100000000002</v>
      </c>
      <c r="D15" s="45">
        <f>(308586+795262+270140+302515+141249+899440+102319+201825+678801+560484+203947+97739+308599+43027+92331+383931+255409+143488+102158+793192+16330957+0+0+113285+0+989266+124573+70109+78044+177993+1847156+184379+54320+43342+80237+0)/1000</f>
        <v>26778.102999999999</v>
      </c>
      <c r="E15" s="45">
        <f t="shared" si="0"/>
        <v>27612.683999999997</v>
      </c>
      <c r="F15" s="45">
        <f>(316428+978711+341101+306464+151462+906152+0+223973+678801+506106+203280+0+308599+43027+108325+383931+262890+148553+0+841093+16448035+0+0+35688+633485+999163+80021+0+82969+164563+1946249+432986+36752+33030+75583+0)/1000</f>
        <v>27677.42</v>
      </c>
      <c r="G15" s="33">
        <f>IF(AND(F64&lt;&gt;0,F15&lt;&gt;0),IF(100*F15/F64&lt;0.005,"*",100*F15/F64),0)</f>
        <v>4.1728910115076792</v>
      </c>
    </row>
    <row r="16" spans="1:7" x14ac:dyDescent="0.2">
      <c r="A16" s="9" t="s">
        <v>104</v>
      </c>
      <c r="B16" s="45">
        <f>(195905+529881+193364+114328+98182+533668+57738+100000+361395+329650+84929+72366+210078+36548+58649+236460+90031+46703+50381+429677+8155553+68638+24805+155081+0+535762+125810+88024+57288+80203+1408081+209295+27367+26175+58487+0)/1000</f>
        <v>14850.502</v>
      </c>
      <c r="C16" s="45">
        <f>(0+89358+32778+0+734+0+0+0+0+0+0+0+0+0+0+0+0+0+0+0+0+0+0+5130+37943+14082+10455+2870+814+18899+36994+113041+842+802+0+0)/1000</f>
        <v>364.74200000000002</v>
      </c>
      <c r="D16" s="45">
        <f>(215258+471074+146536+125504+129286+537284+61189+117372+363688+329650+87426+77290+212407+36548+56650+240816+91172+47653+50773+444313+7825411+0+0+78105+0+538213+117636+86728+57170+77663+1258795+85276+27209+25946+61353+0)/1000</f>
        <v>14081.394</v>
      </c>
      <c r="E16" s="45">
        <f t="shared" si="0"/>
        <v>14446.136</v>
      </c>
      <c r="F16" s="45">
        <f>(220728+579739+185029+127142+138634+538193+0+127404+364369+297668+87140+0+212407+36548+66462+240816+93842+49336+0+467880+8403867+0+0+6262+26961+543598+75565+0+60778+74707+1326291+200258+18409+19773+57794+0)/1000</f>
        <v>14647.6</v>
      </c>
      <c r="G16" s="33">
        <f>IF(AND(F64&lt;&gt;0,F16&lt;&gt;0),IF(100*F16/F64&lt;0.005,"*",100*F16/F64),0)</f>
        <v>2.2084008690174115</v>
      </c>
    </row>
    <row r="17" spans="1:7" x14ac:dyDescent="0.2">
      <c r="A17" s="9" t="s">
        <v>105</v>
      </c>
      <c r="B17" s="45">
        <f>(11010+46421+29410+6715+21386+49811+9790+13380+41721+98578+15898+5005+17833+4972+7257+29002+19662+15323+6980+55380+1723710+3818+9072+11698+0+140657+29126+13994+14254+28968+118567+72885+12831+11107+5378+0)/1000</f>
        <v>2701.5990000000002</v>
      </c>
      <c r="C17" s="45">
        <f>(0+7828+4985+0+160+0+0+0+0+0+0+0+0+0+0+0+0+0+0+0+0+0+0+8035+0+3706+2420+456+251+6594+93377+39365+385+341+0+0)/1000</f>
        <v>167.90299999999999</v>
      </c>
      <c r="D17" s="45">
        <f>(12098+41269+22288+7371+28161+51171+9857+12724+41986+98578+16365+5062+18031+4972+7010+29537+19911+15635+6950+63149+1479734+0+0+5147+0+141635+27234+13788+12831+24222+162805+29697+12464+11010+5642+0)/1000</f>
        <v>2438.3339999999998</v>
      </c>
      <c r="E17" s="45">
        <f t="shared" si="0"/>
        <v>2606.2369999999996</v>
      </c>
      <c r="F17" s="45">
        <f>(12405+50789+28142+7468+30197+51359+0+13679+41986+89014+16312+0+18031+4972+8224+29537+20494+16187+0+66499+1427597+0+0+8215+0+143052+17494+0+13640+25332+173728+69738+8432+8391+5314+0)/1000</f>
        <v>2406.2280000000001</v>
      </c>
      <c r="G17" s="33">
        <f>IF(AND(F64&lt;&gt;0,F17&lt;&gt;0),IF(100*F17/F64&lt;0.005,"*",100*F17/F64),0)</f>
        <v>0.36278407426841447</v>
      </c>
    </row>
    <row r="18" spans="1:7" x14ac:dyDescent="0.2">
      <c r="A18" s="9" t="s">
        <v>106</v>
      </c>
      <c r="B18" s="45">
        <f>(18474+53083+29352+7984+11100+59493+9790+19259+59267+30307+22777+20427+29794+2868+9800+31755+13960+8155+8224+88438+1614932+5961+10083+14779+0+41501+1406+1542+14441+23070+324458+31611+7959+11107+10391+0)/1000</f>
        <v>2647.5479999999998</v>
      </c>
      <c r="C18" s="45">
        <f>(0+8952+4976+0+83+0+0+0+0+0+0+0+0+0+0+0+0+0+0+0+0+0+0+1727+0+1083+117+50+205+7782+10877+17073+244+341+0+0)/1000</f>
        <v>53.51</v>
      </c>
      <c r="D18" s="45">
        <f>(20299+47192+22244+8764+14616+58030+9857+19958+59643+30307+23446+20705+30124+2868+9466+32341+14137+8320+8359+78353+1601563+0+0+11265+0+41401+1315+1519+13037+26311+278844+12880+7900+11010+10900+0)/1000</f>
        <v>2536.9740000000002</v>
      </c>
      <c r="E18" s="45">
        <f t="shared" si="0"/>
        <v>2590.4840000000004</v>
      </c>
      <c r="F18" s="45">
        <f>(20815+58078+28087+8879+15673+57678+0+22038+59721+27367+23369+0+30124+2868+11106+32341+14551+8614+0+83426+1666646+0+0+1422+0+41815+845+0+13860+30098+293797+30246+5345+8391+10268+0)/1000</f>
        <v>2607.4679999999998</v>
      </c>
      <c r="G18" s="33">
        <f>IF(AND(F64&lt;&gt;0,F18&lt;&gt;0),IF(100*F18/F64&lt;0.005,"*",100*F18/F64),0)</f>
        <v>0.39312478475211582</v>
      </c>
    </row>
    <row r="19" spans="1:7" x14ac:dyDescent="0.2">
      <c r="A19" s="9" t="s">
        <v>107</v>
      </c>
      <c r="B19" s="45">
        <f>(144365+462592+200827+145085+109276+678373+81325+113035+530734+583126+123617+171038+172946+56874+66329+363170+184619+80239+62553+579663+14095993+42977+107164+156355+0+1012128+274853+156711+146223+165193+1533769+649654+73389+41908+77303+0)/1000</f>
        <v>23443.405999999999</v>
      </c>
      <c r="C19" s="45">
        <f>(0+78010+34043+0+817+0+0+0+0+0+0+0+0+0+0+0+0+0+0+0+0+0+0+92149+0+26568+22841+5109+2062+37697+53574+350880+2251+1285+0+0)/1000</f>
        <v>707.28599999999994</v>
      </c>
      <c r="D19" s="45">
        <f>(158626+411253+152192+159268+143895+674483+79109+115032+534101+583126+127251+173936+174863+56874+64067+369864+186959+81871+62324+392710+12224914+0+0+74230+0+1014414+256998+154405+141045+152398+1386033+264699+72781+41540+81091+0)/1000</f>
        <v>20566.351999999999</v>
      </c>
      <c r="E19" s="45">
        <f t="shared" si="0"/>
        <v>21273.637999999999</v>
      </c>
      <c r="F19" s="45">
        <f>(162657+506119+192171+161347+154299+676906+0+123959+534101+526551+126835+0+174863+56873+75165+369864+192435+84761+0+413540+12345343+0+0+90185+0+1026573+165085+0+149944+150136+1460324+621604+49241+31658+76388+0)/1000</f>
        <v>20698.927</v>
      </c>
      <c r="G19" s="33">
        <f>IF(AND(F64&lt;&gt;0,F19&lt;&gt;0),IF(100*F19/F64&lt;0.005,"*",100*F19/F64),0)</f>
        <v>3.1207520941675058</v>
      </c>
    </row>
    <row r="20" spans="1:7" x14ac:dyDescent="0.2">
      <c r="A20" s="9" t="s">
        <v>108</v>
      </c>
      <c r="B20" s="45">
        <f>(79496+262958+101769+56759+58034+268365+35890+67931+271332+206117+76155+77435+113903+26182+36832+138389+13593+66722+32412+202328+10198299+26484+17365+94494+0+227195+45079+33844+38151+55964+1025624+87238+39072+16978+46694+0)/1000</f>
        <v>14145.083000000001</v>
      </c>
      <c r="C20" s="45">
        <f>(0+44345+17251+0+434+0+0+0+0+0+0+0+0+0+0+0+0+0+0+0+0+0+0+5247+0+5986+3746+1103+754+15778+54123+47118+1199+521+0+0)/1000</f>
        <v>197.60499999999999</v>
      </c>
      <c r="D20" s="45">
        <f>(87349+233774+77123+62307+76419+258100+36195+77553+273053+206117+78394+77748+115166+26182+35577+140939+13765+68079+32456+261535+11022924+0+0+60189+0+228795+42151+33346+32750+61783+927011+35545+38783+16830+48982+0)/1000</f>
        <v>14786.92</v>
      </c>
      <c r="E20" s="45">
        <f t="shared" si="0"/>
        <v>14984.525</v>
      </c>
      <c r="F20" s="45">
        <f>(89569+287701+97382+63121+81944+256267+0+84952+273053+186119+78138+0+115166+26182+41739+140939+14168+70483+0+275407+9442569+0+0+6137+0+231084+27076+0+34817+62180+978748+83472+26239+12826+46141+0)/1000</f>
        <v>13133.619000000001</v>
      </c>
      <c r="G20" s="33">
        <f>IF(AND(F64&lt;&gt;0,F20&lt;&gt;0),IF(100*F20/F64&lt;0.005,"*",100*F20/F64),0)</f>
        <v>1.98013979170264</v>
      </c>
    </row>
    <row r="21" spans="1:7" x14ac:dyDescent="0.2">
      <c r="A21" s="9" t="s">
        <v>109</v>
      </c>
      <c r="B21" s="45">
        <f>(27594+110921+39593+27612+20975+97623+15794+32865+128161+130558+41431+54884+43741+8508+17177+67693+19700+40727+15317+163436+3509678+14089+13721+60714+0+106086+7878+7302+26107+51746+594277+54629+21942+17348+14769+0)/1000</f>
        <v>5604.5959999999995</v>
      </c>
      <c r="C21" s="45">
        <f>(0+18705+6712+0+157+0+0+0+0+0+0+0+0+0+0+0+0+0+0+0+0+0+0+1894+0+2794+655+238+378+8793+2845+29505+674+539+0+0)/1000</f>
        <v>73.888999999999996</v>
      </c>
      <c r="D21" s="45">
        <f>(30320+98611+30005+30311+27620+88080+15083+33506+128974+130558+42649+55106+44226+8508+16591+68943+19950+41555+15314+130026+3725276+0+0+34357+0+106771+7367+7194+24831+40512+479133+22258+21779+17443+15493+0)/1000</f>
        <v>5558.35</v>
      </c>
      <c r="E21" s="45">
        <f t="shared" si="0"/>
        <v>5632.2390000000005</v>
      </c>
      <c r="F21" s="45">
        <f>(31090+121358+37886+30707+29617+86312+0+37749+128974+117891+42510+0+44226+8508+19465+68943+20534+43022+0+136960+3819880+0+0+2387+0+107839+4732+0+26399+34155+504834+52270+14735+13293+14594+0)/1000</f>
        <v>5600.87</v>
      </c>
      <c r="G21" s="33">
        <f>IF(AND(F64&lt;&gt;0,F21&lt;&gt;0),IF(100*F21/F64&lt;0.005,"*",100*F21/F64),0)</f>
        <v>0.84443637013937767</v>
      </c>
    </row>
    <row r="22" spans="1:7" x14ac:dyDescent="0.2">
      <c r="A22" s="9" t="s">
        <v>110</v>
      </c>
      <c r="B22" s="45">
        <f>(31836+106817+40966+31591+26523+98754+15993+27950+111928+101360+28489+36176+44984+9812+16404+71953+25702+17605+14206+132007+2104285+3635+10658+24430+0+71279+24180+17389+18663+32137+384302+37617+14609+12887+16685+0)/1000</f>
        <v>3763.8119999999999</v>
      </c>
      <c r="C22" s="45">
        <f>(0+18013+6944+0+198+0+0+0+0+0+0+0+0+0+0+0+0+0+0+0+0+0+0+5276+0+1881+2009+567+270+9586+20154+20317+449+395+0+0)/1000</f>
        <v>86.058999999999997</v>
      </c>
      <c r="D22" s="45">
        <f>(34981+94962+31045+34679+34926+100347+15910+28476+112638+101478+29327+36838+45482+9812+15845+73282+26027+17964+14182+119145+2385911+0+0+23217+0+71907+22609+17134+16875+35193+368418+15327+14526+12774+17503+0)/1000</f>
        <v>3978.74</v>
      </c>
      <c r="E22" s="45">
        <f t="shared" si="0"/>
        <v>4064.799</v>
      </c>
      <c r="F22" s="45">
        <f>(35870+116868+39200+35132+37451+99793+0+32801+112638+91632+29231+0+45482+9812+18590+73282+26790+18598+0+125465+2523303+0+0+2585+0+72626+14523+0+17940+37337+388179+35992+9828+9735+16487+0)/1000</f>
        <v>4077.17</v>
      </c>
      <c r="G22" s="33">
        <f>IF(AND(F64&lt;&gt;0,F22&lt;&gt;0),IF(100*F22/F64&lt;0.005,"*",100*F22/F64),0)</f>
        <v>0.61470997099400027</v>
      </c>
    </row>
    <row r="23" spans="1:7" x14ac:dyDescent="0.2">
      <c r="A23" s="9" t="s">
        <v>111</v>
      </c>
      <c r="B23" s="45">
        <f>(95395+232240+86827+42871+62477+238513+31896+52865+165732+180689+44094+53579+94217+16702+23784+156021+52607+58966+21682+284025+8367569+9791+14151+40985+0+218730+66874+51740+27697+58176+767530+68543+20598+18303+23550+0)/1000</f>
        <v>11749.419</v>
      </c>
      <c r="C23" s="45">
        <f>(0+39164+14718+0+467+0+0+0+0+0+0+0+0+0+0+0+0+0+0+0+0+0+0+1491+0+5758+5557+1687+393+11008+37239+37020+633+561+0+0)/1000</f>
        <v>155.696</v>
      </c>
      <c r="D23" s="45">
        <f>(104819+206465+65800+47062+82270+228685+31202+59009+166784+180689+45390+55279+95262+16702+22973+158897+53274+60165+21684+218000+8532471+0+0+41756+0+220079+62529+50978+25170+41903+647766+27928+20482+18143+24704+0)/1000</f>
        <v>11634.32</v>
      </c>
      <c r="E23" s="45">
        <f t="shared" si="0"/>
        <v>11790.016</v>
      </c>
      <c r="F23" s="45">
        <f>(107482+254092+83085+47676+88218+225728+0+64758+166784+163159+45242+0+95262+16702+26952+158897+54834+62289+0+229563+8710812+0+0+760+0+222281+40166+0+26759+43043+693314+65584+13857+13827+23271+0)/1000</f>
        <v>11744.397000000001</v>
      </c>
      <c r="G23" s="33">
        <f>IF(AND(F64&lt;&gt;0,F23&lt;&gt;0),IF(100*F23/F64&lt;0.005,"*",100*F23/F64),0)</f>
        <v>1.7706884773536609</v>
      </c>
    </row>
    <row r="24" spans="1:7" x14ac:dyDescent="0.2">
      <c r="A24" s="9" t="s">
        <v>112</v>
      </c>
      <c r="B24" s="45">
        <f>(88024+245105+113843+97137+67261+338910+45152+36550+197709+163431+53226+48125+90419+13865+26403+188036+52479+19737+22876+379958+9015657+24121+13361+47308+51435+373338+65603+57798+27420+75595+791458+63499+17948+16625+33329+0)/1000</f>
        <v>12962.741</v>
      </c>
      <c r="C24" s="45">
        <f>(0+41334+19298+0+503+0+0+0+0+0+0+0+0+0+0+0+0+0+0+0+0+0+0+21062+0+9806+5452+1884+388+17195+35299+34296+547+510+0+0)/1000</f>
        <v>187.57400000000001</v>
      </c>
      <c r="D24" s="45">
        <f>(96720+217903+86273+106632+88569+341542+44078+57833+198964+163432+54790+51413+91422+13865+25503+191502+53144+20139+22805+373254+9640024+0+0+26511+0+374788+61341+56948+25181+71650+681316+25872+17690+16479+34962+0)/1000</f>
        <v>13332.545</v>
      </c>
      <c r="E24" s="45">
        <f t="shared" si="0"/>
        <v>13520.119000000001</v>
      </c>
      <c r="F24" s="45">
        <f>(99177+268168+108936+108024+94973+339916+0+64741+198964+147575+54611+0+91422+13865+29921+191502+54701+20850+0+393052+10169465+0+0+21707+1213917+378538+39403+0+26771+67866+720958+60757+11969+12559+32934+0)/1000</f>
        <v>15037.242</v>
      </c>
      <c r="G24" s="33">
        <f>IF(AND(F64&lt;&gt;0,F24&lt;&gt;0),IF(100*F24/F64&lt;0.005,"*",100*F24/F64),0)</f>
        <v>2.2671467203108437</v>
      </c>
    </row>
    <row r="25" spans="1:7" x14ac:dyDescent="0.2">
      <c r="A25" s="9" t="s">
        <v>113</v>
      </c>
      <c r="B25" s="45">
        <f>(12758+33762+17883+9446+15474+55038+9790+16594+57443+77863+20844+38800+16030+3019+5634+37488+17213+19110+6506+37827+1896763+3448+11443+20687+0+95716+16415+8916+12777+32077+206259+47695+12550+11107+6304+0)/1000</f>
        <v>2890.6790000000001</v>
      </c>
      <c r="C25" s="45">
        <f>(0+5694+3031+0+116+0+0+0+0+0+0+0+0+0+0+0+0+0+0+0+0+0+0+462+0+2509+1364+291+194+5773+8653+25760+385+341+0+0)/1000</f>
        <v>54.573</v>
      </c>
      <c r="D25" s="45">
        <f>(14018+30015+13552+10369+20376+53220+9857+16442+57807+77863+21456+38726+16208+3019+5442+38179+17431+19499+6504+37049+1869230+0+0+17179+0+95876+15348+8785+12666+24457+167835+19433+12457+11010+6613+0)/1000</f>
        <v>2767.9209999999998</v>
      </c>
      <c r="E25" s="45">
        <f t="shared" si="0"/>
        <v>2822.4939999999997</v>
      </c>
      <c r="F25" s="45">
        <f>(14375+36939+17112+10505+21849+52424+0+17684+57807+70309+21386+0+16208+3019+6385+38179+17942+20187+0+39014+1851427+0+0+702+0+96835+9859+0+13465+22036+189289+45636+8428+8391+6229+0)/1000</f>
        <v>2713.6210000000001</v>
      </c>
      <c r="G25" s="33">
        <f>IF(AND(F64&lt;&gt;0,F25&lt;&gt;0),IF(100*F25/F64&lt;0.005,"*",100*F25/F64),0)</f>
        <v>0.40912934368660381</v>
      </c>
    </row>
    <row r="26" spans="1:7" x14ac:dyDescent="0.2">
      <c r="A26" s="9" t="s">
        <v>114</v>
      </c>
      <c r="B26" s="45">
        <f>(69430+179171+104631+52751+68479+239062+29195+44234+209868+228342+82749+81688+64638+23301+30490+102761+67405+20342+29399+313409+7379536+35166+24361+53183+0+633252+96979+35561+54172+32346+630875+152007+39212+20348+21648+0)/1000</f>
        <v>11249.991</v>
      </c>
      <c r="C26" s="45">
        <f>(0+30215+17736+0+512+0+0+0+0+0+0+0+0+0+0+0+0+0+0+0+0+0+0+21416+0+16648+8059+1159+763+7659+27681+82099+1204+624+0+0)/1000</f>
        <v>215.77500000000001</v>
      </c>
      <c r="D26" s="45">
        <f>(76289+159286+79292+57908+90173+242398+28517+45197+211199+228342+85181+79769+65354+23301+29450+104658+68259+20756+29464+316638+7263597+0+0+28286+0+636268+90678+35038+48962+27435+585837+61935+38921+20169+22709+0)/1000</f>
        <v>10901.266</v>
      </c>
      <c r="E26" s="45">
        <f t="shared" si="0"/>
        <v>11117.040999999999</v>
      </c>
      <c r="F26" s="45">
        <f>(78227+196030+100121+58663+96693+244493+0+48945+211199+206188+84903+0+65354+23301+34551+104658+70259+21488+0+333433+7306668+0+0+22092+0+642634+58248+0+52052+29602+617233+145444+26333+15371+21392+0)/1000</f>
        <v>10915.575000000001</v>
      </c>
      <c r="G26" s="33">
        <f>IF(AND(F64&lt;&gt;0,F26&lt;&gt;0),IF(100*F26/F64&lt;0.005,"*",100*F26/F64),0)</f>
        <v>1.6457279906486202</v>
      </c>
    </row>
    <row r="27" spans="1:7" x14ac:dyDescent="0.2">
      <c r="A27" s="9" t="s">
        <v>115</v>
      </c>
      <c r="B27" s="45">
        <f>(66007+198930+76857+65617+64407+237537+35496+53173+297999+457855+77738+147627+64000+44973+31966+143821+136368+31447+33285+710910+10989463+26589+46555+127889+0+1089770+179750+84984+62006+45025+615437+398323+55045+25774+29135+0)/1000</f>
        <v>16751.758000000002</v>
      </c>
      <c r="C27" s="45">
        <f>(0+33547+13028+0+482+0+0+0+0+0+0+0+0+0+0+0+0+0+0+0+0+0+0+5170+0+28620+14937+2771+933+10120+30597+215135+1690+790+0+0)/1000</f>
        <v>357.82</v>
      </c>
      <c r="D27" s="45">
        <f>(72528+176852+58244+72031+84811+253216+34307+48769+299889+457855+80023+137656+64710+44973+30876+146474+138096+32086+33395+724570+11115727+0+0+94026+0+1092858+168072+83733+56998+44693+592078+162295+54637+25548+30563+0)/1000</f>
        <v>16512.589</v>
      </c>
      <c r="E27" s="45">
        <f t="shared" si="0"/>
        <v>16870.409</v>
      </c>
      <c r="F27" s="45">
        <f>(74371+217648+73544+72972+90943+254427+0+51582+299889+413434+79762+0+64710+44973+36225+146474+142141+33219+0+763002+11170938+0+0+6521+0+1105802+107963+0+60596+39479+623801+381125+36966+19470+28790+0)/1000</f>
        <v>16440.767</v>
      </c>
      <c r="G27" s="33">
        <f>IF(AND(F64&lt;&gt;0,F27&lt;&gt;0),IF(100*F27/F64&lt;0.005,"*",100*F27/F64),0)</f>
        <v>2.4787544806052035</v>
      </c>
    </row>
    <row r="28" spans="1:7" x14ac:dyDescent="0.2">
      <c r="A28" s="9" t="s">
        <v>116</v>
      </c>
      <c r="B28" s="45">
        <f>(114397+309536+164331+70259+92639+488199+76804+112641+418812+772794+153348+161307+146977+32082+48724+322772+118709+107660+48514+280390+12585616+18826+33279+127225+0+382499+75917+48850+117133+81419+1151768+146546+69911+27266+44503+0)/1000</f>
        <v>18951.652999999998</v>
      </c>
      <c r="C28" s="45">
        <f>(0+52199+27856+0+693+0+0+0+0+0+0+0+0+0+0+0+0+0+0+0+0+0+0+47087+0+10034+6309+1593+1744+16996+78434+79150+2140+836+0+0)/1000</f>
        <v>325.07100000000003</v>
      </c>
      <c r="D28" s="45">
        <f>(125698+275183+124534+77127+121987+469816+72727+113124+421469+772794+157856+166932+148607+32082+47063+328720+120213+109849+48499+273742+13568947+0+0+109253+0+383504+70985+48131+111616+66559+1026434+59710+69194+27027+46684+0)/1000</f>
        <v>19596.065999999999</v>
      </c>
      <c r="E28" s="45">
        <f t="shared" si="0"/>
        <v>19921.136999999999</v>
      </c>
      <c r="F28" s="45">
        <f>(128892+338661+157248+78134+130807+465877+0+122348+421469+697818+157340+0+148607+32082+55215+328720+123734+113727+0+288261+14150659+0+0+12207+0+387341+45598+0+118660+67068+1084756+140219+46815+20597+43976+0)/1000</f>
        <v>19906.835999999999</v>
      </c>
      <c r="G28" s="33">
        <f>IF(AND(F64&lt;&gt;0,F28&lt;&gt;0),IF(100*F28/F64&lt;0.005,"*",100*F28/F64),0)</f>
        <v>3.0013294957390348</v>
      </c>
    </row>
    <row r="29" spans="1:7" x14ac:dyDescent="0.2">
      <c r="A29" s="9" t="s">
        <v>117</v>
      </c>
      <c r="B29" s="45">
        <f>(54008+169411+92976+67536+69649+169612+27326+51098+198984+259826+121614+116990+68136+23368+30250+103368+60736+33666+26973+122348+8182997+10821+22891+63538+0+252265+55089+46432+40675+61645+723642+106868+29799+16955+27422+0)/1000</f>
        <v>11508.914000000001</v>
      </c>
      <c r="C29" s="45">
        <f>(0+28569+15761+0+521+0+0+0+0+0+0+0+0+0+0+0+0+0+0+0+0+0+0+963+0+6613+4578+1514+567+11905+0+57720+915+520+0+0)/1000</f>
        <v>130.14599999999999</v>
      </c>
      <c r="D29" s="45">
        <f>(59343+150609+70460+74138+91714+167320+26494+50671+200247+259569+125189+117463+68891+23368+29219+105274+61506+34350+27148+129392+8125767+0+0+50950+0+252764+51510+45749+37014+51187+629133+43543+29578+16807+28766+0)/1000</f>
        <v>11235.133</v>
      </c>
      <c r="E29" s="45">
        <f t="shared" si="0"/>
        <v>11365.279</v>
      </c>
      <c r="F29" s="45">
        <f>(60851+185351+88968+75106+98345+167496+0+55469+200247+234386+124780+0+68891+23368+34280+105274+63307+35563+0+136842+8804451+0+0+1427+0+255293+33088+0+39350+46640+671102+102254+20012+12808+27097+0)/1000</f>
        <v>11772.046</v>
      </c>
      <c r="G29" s="33">
        <f>IF(AND(F64&lt;&gt;0,F29&lt;&gt;0),IF(100*F29/F64&lt;0.005,"*",100*F29/F64),0)</f>
        <v>1.7748570835162718</v>
      </c>
    </row>
    <row r="30" spans="1:7" x14ac:dyDescent="0.2">
      <c r="A30" s="9" t="s">
        <v>118</v>
      </c>
      <c r="B30" s="45">
        <f>(63824+170259+74840+47123+26471+209581+29747+43541+125613+86481+30408+32531+68985+6293+16422+206566+25751+13703+14604+335501+4393502+17511+11892+28431+0+170683+28822+21980+19109+35904+536226+30410+14583+11957+17747+0)/1000</f>
        <v>6967.0010000000002</v>
      </c>
      <c r="C30" s="45">
        <f>(0+28712+12686+0+198+0+0+0+0+0+0+0+0+0+0+0+0+0+0+0+0+0+0+3904+0+4504+2395+717+282+9481+24326+16424+448+367+0+0)/1000</f>
        <v>104.444</v>
      </c>
      <c r="D30" s="45">
        <f>(70129+151363+56716+51729+34857+205853+29074+44681+126410+86481+31302+32531+69750+6293+15862+210377+26077+13982+14527+257202+4534348+0+0+25548+0+172141+26949+21656+17631+34800+466480+12390+14499+11852+18617+0)/1000</f>
        <v>6892.107</v>
      </c>
      <c r="E30" s="45">
        <f t="shared" si="0"/>
        <v>6996.5510000000004</v>
      </c>
      <c r="F30" s="45">
        <f>(71911+186279+71614+52405+37377+203775+0+49265+126410+78091+31199+0+69750+6293+18609+210377+26841+14475+0+270845+4621243+0+0+3272+0+173863+17311+0+18744+36913+496808+29097+9809+9033+17537+0)/1000</f>
        <v>6959.1459999999997</v>
      </c>
      <c r="G30" s="33">
        <f>IF(AND(F64&lt;&gt;0,F30&lt;&gt;0),IF(100*F30/F64&lt;0.005,"*",100*F30/F64),0)</f>
        <v>1.0492219936384828</v>
      </c>
    </row>
    <row r="31" spans="1:7" x14ac:dyDescent="0.2">
      <c r="A31" s="9" t="s">
        <v>119</v>
      </c>
      <c r="B31" s="45">
        <f>(78632+211068+91818+54832+49582+243692+35115+69555+238430+216335+59302+81065+94586+24669+32609+167211+52441+29616+29773+233717+7472676+14465+18026+100136+0+268436+48516+38271+37210+55863+1036742+123406+44944+19582+21665+0)/1000</f>
        <v>11393.986000000001</v>
      </c>
      <c r="C31" s="45">
        <f>(0+35594+15564+0+371+0+0+0+0+0+0+0+0+0+0+0+0+0+0+0+0+0+0+1559+58535+7070+4032+1248+598+15573+46399+66652+1380+600+0+0)/1000</f>
        <v>255.17500000000001</v>
      </c>
      <c r="D31" s="45">
        <f>(86400+187643+69582+60192+65290+248725+35303+70929+239942+216335+61045+81028+95635+24669+31498+170292+53106+30219+29762+278965+7532605+0+0+61893+0+270196+45364+37708+31738+63282+918030+50281+44611+19411+22727+0)/1000</f>
        <v>11234.406000000001</v>
      </c>
      <c r="E31" s="45">
        <f t="shared" si="0"/>
        <v>11489.581</v>
      </c>
      <c r="F31" s="45">
        <f>(88595+230928+87860+60978+70010+248134+0+78320+239942+195347+60846+0+95635+24669+36954+170292+54661+31286+0+293762+7597087+0+0+843+41592+272899+29140+0+33740+61359+972445+118078+30183+14793+21408+0)/1000</f>
        <v>11261.786</v>
      </c>
      <c r="G31" s="33">
        <f>IF(AND(F64&lt;&gt;0,F31&lt;&gt;0),IF(100*F31/F64&lt;0.005,"*",100*F31/F64),0)</f>
        <v>1.6979258027996476</v>
      </c>
    </row>
    <row r="32" spans="1:7" x14ac:dyDescent="0.2">
      <c r="A32" s="9" t="s">
        <v>120</v>
      </c>
      <c r="B32" s="45">
        <f>(10388+28843+14613+11286+10150+48712+9790+11793+39555+37889+11975+20779+14599+3191+5358+32050+16562+8849+5094+110278+1545439+2326+10863+8409+0+39996+6267+4340+9255+42552+459833+20258+7959+11107+4582+0)/1000</f>
        <v>2624.94</v>
      </c>
      <c r="C32" s="45">
        <f>(0+4864+2477+0+76+0+0+0+0+0+0+0+0+0+0+0+0+0+0+0+0+0+0+0+0+1026+521+142+143+10104+38579+10941+244+341+0+0)/1000</f>
        <v>69.457999999999998</v>
      </c>
      <c r="D32" s="45">
        <f>(11414+25642+11074+12389+13366+48946+9857+12071+39843+37889+12327+21062+14761+3191+5176+32640+16772+9029+5114+91428+1531613+0+0+8166+0+39222+5860+4276+8078+41885+399159+8254+7900+11010+4807+0)/1000</f>
        <v>2504.221</v>
      </c>
      <c r="E32" s="45">
        <f t="shared" si="0"/>
        <v>2573.6790000000001</v>
      </c>
      <c r="F32" s="45">
        <f>(11704+31557+13983+12551+14332+48946+0+13158+39843+34213+12287+0+14761+3191+6072+32640+17264+9348+0+96807+1594775+0+0+111+0+39614+3764+0+8588+39414+421454+19383+5345+8391+4528+0)/1000</f>
        <v>2558.0239999999999</v>
      </c>
      <c r="G32" s="33">
        <f>IF(AND(F64&lt;&gt;0,F32&lt;&gt;0),IF(100*F32/F64&lt;0.005,"*",100*F32/F64),0)</f>
        <v>0.38567017289981936</v>
      </c>
    </row>
    <row r="33" spans="1:7" x14ac:dyDescent="0.2">
      <c r="A33" s="9" t="s">
        <v>121</v>
      </c>
      <c r="B33" s="45">
        <f>(19837+75691+29420+30607+19307+73854+9988+20168+78387+56627+26859+31518+27925+10595+10811+50954+19325+18797+9320+77075+1271073+4192+9067+27825+0+73889+16141+13778+14361+27239+324434+26142+8170+10914+8260+0)/1000</f>
        <v>2532.5500000000002</v>
      </c>
      <c r="C33" s="45">
        <f>(0+12764+4987+0+144+0+0+0+0+0+0+0+0+0+0+0+0+0+0+0+0+0+0+771+0+1938+1341+449+207+9520+16262+14120+255+341+0+0)/1000</f>
        <v>63.098999999999997</v>
      </c>
      <c r="D33" s="45">
        <f>(21797+67291+22295+33599+25423+77655+10015+18559+78884+56627+27649+31947+28234+10595+10442+51893+19570+19180+9347+87084+1288143+0+0+17144+0+74086+15093+13575+14156+27258+281790+10652+8231+11010+8665+0)/1000</f>
        <v>2477.8890000000001</v>
      </c>
      <c r="E33" s="45">
        <f t="shared" si="0"/>
        <v>2540.9880000000003</v>
      </c>
      <c r="F33" s="45">
        <f>(22350+82813+28152+34038+27262+77976+0+20783+78884+51133+27558+0+28234+10595+12251+51893+20143+19857+0+91946+1347543+0+0+1015+0+74827+9695+0+15050+37071+296903+25014+5569+8391+8162+0)/1000</f>
        <v>2515.1080000000002</v>
      </c>
      <c r="G33" s="33">
        <f>IF(AND(F64&lt;&gt;0,F33&lt;&gt;0),IF(100*F33/F64&lt;0.005,"*",100*F33/F64),0)</f>
        <v>0.37919977968217616</v>
      </c>
    </row>
    <row r="34" spans="1:7" x14ac:dyDescent="0.2">
      <c r="A34" s="9" t="s">
        <v>122</v>
      </c>
      <c r="B34" s="45">
        <f>(40307+103301+48766+12004+27815+129670+11747+19777+80286+43762+53906+13139+47048+2580+15197+38248+49617+37297+14366+74884+3221336+9117+14796+22815+0+146758+17011+6584+23989+27482+357710+33836+7959+12876+4711+0)/1000</f>
        <v>4770.6970000000001</v>
      </c>
      <c r="C34" s="45">
        <f>(0+17420+8267+0+208+0+0+0+0+0+0+0+0+0+0+0+0+0+0+0+0+0+0+0+0+3877+1414+215+343+11273+25775+18275+244+395+0+0)/1000</f>
        <v>87.706000000000003</v>
      </c>
      <c r="D34" s="45">
        <f>(44289+91836+36956+13177+36627+136146+13117+28377+82056+43762+55491+14033+47570+2580+14678+38950+50246+38055+14595+78194+3398732+0+0+22206+0+148172+15905+6487+23499+39258+353996+13786+7900+12763+4942+0)/1000</f>
        <v>4928.3810000000003</v>
      </c>
      <c r="E34" s="45">
        <f t="shared" si="0"/>
        <v>5016.0870000000004</v>
      </c>
      <c r="F34" s="45">
        <f>(45414+113021+46664+13349+39275+137258+0+30954+83287+39517+55310+0+47570+2580+17221+38950+51718+39399+0+83137+3225144+0+0+302+0+149654+10217+0+24982+44105+372967+32375+5345+9727+4655+0)/1000</f>
        <v>4764.0969999999998</v>
      </c>
      <c r="G34" s="33">
        <f>IF(AND(F64&lt;&gt;0,F34&lt;&gt;0),IF(100*F34/F64&lt;0.005,"*",100*F34/F64),0)</f>
        <v>0.71827712081728345</v>
      </c>
    </row>
    <row r="35" spans="1:7" x14ac:dyDescent="0.2">
      <c r="A35" s="9" t="s">
        <v>123</v>
      </c>
      <c r="B35" s="45">
        <f>(5376+21353+9359+4789+9568+39758+9790+11429+49814+38394+16990+27999+10345+4582+5953+18834+15077+3183+6522+40496+1396102+1478+10655+20925+0+90397+13642+8330+11176+19202+182814+20070+16202+11108+2559+0)/1000</f>
        <v>2154.2710000000002</v>
      </c>
      <c r="C35" s="45">
        <f>(0+3601+1586+0+72+0+0+0+0+0+0+0+0+0+0+0+0+0+0+0+0+0+0+948+0+2395+1134+272+162+2923+8317+10840+497+341+0+0)/1000</f>
        <v>33.088000000000001</v>
      </c>
      <c r="D35" s="45">
        <f>(5907+18983+7093+5257+12599+44582+9857+10926+50130+38394+17490+27554+10459+4582+5750+19182+15268+3248+6537+44854+1477344+0+0+11372+0+91518+12756+8208+10760+14036+161075+8177+16082+11010+2684+0)/1000</f>
        <v>2183.674</v>
      </c>
      <c r="E35" s="45">
        <f t="shared" si="0"/>
        <v>2216.7620000000002</v>
      </c>
      <c r="F35" s="45">
        <f>(6057+23362+8956+5326+13510+44582+0+12137+50130+34669+17433+0+10459+4582+6746+19182+15715+3362+0+47233+1479632+0+0+1116+0+92434+8194+0+11439+10599+169711+19203+10880+8391+2529+0)/1000</f>
        <v>2137.569</v>
      </c>
      <c r="G35" s="33">
        <f>IF(AND(F64&lt;&gt;0,F35&lt;&gt;0),IF(100*F35/F64&lt;0.005,"*",100*F35/F64),0)</f>
        <v>0.32227868300504375</v>
      </c>
    </row>
    <row r="36" spans="1:7" x14ac:dyDescent="0.2">
      <c r="A36" s="9" t="s">
        <v>124</v>
      </c>
      <c r="B36" s="45">
        <f>(94985+262027+147454+82842+162852+362319+46046+62807+379451+402702+194383+127431+89707+26374+46356+171817+90859+75540+43706+490175+9946174+41846+47889+101771+0+824749+172116+89330+102475+13094+924657+864933+66333+18957+40956+0)/1000</f>
        <v>16615.113000000001</v>
      </c>
      <c r="C36" s="45">
        <f>(0+44188+24996+0+1218+0+0+0+0+0+0+0+0+0+0+0+0+0+0+0+0+0+0+14117+0+21665+14303+2913+1491+6115+34371+467152+2034+581+0+0)/1000</f>
        <v>635.14400000000001</v>
      </c>
      <c r="D36" s="45">
        <f>(104368+232947+111745+90940+214444+366077+45291+62094+381858+402702+200098+125281+90702+26374+44776+174983+92011+77076+43842+519667+9843621+0+0+72636+0+827020+160935+88016+97198+21309+973361+352413+65760+18791+42963+0)/1000</f>
        <v>15971.299000000001</v>
      </c>
      <c r="E36" s="45">
        <f t="shared" si="0"/>
        <v>16606.442999999999</v>
      </c>
      <c r="F36" s="45">
        <f>(107020+286682+141098+92127+229948+366891+0+67048+381858+363631+199444+0+90702+26374+52532+174983+94706+79797+0+547231+10067052+0+0+13537+0+837304+103378+0+103331+23409+1025514+827588+44492+14321+40471+0)/1000</f>
        <v>16402.469000000001</v>
      </c>
      <c r="G36" s="33">
        <f>IF(AND(F64&lt;&gt;0,F36&lt;&gt;0),IF(100*F36/F64&lt;0.005,"*",100*F36/F64),0)</f>
        <v>2.4729803376410575</v>
      </c>
    </row>
    <row r="37" spans="1:7" x14ac:dyDescent="0.2">
      <c r="A37" s="9" t="s">
        <v>125</v>
      </c>
      <c r="B37" s="45">
        <f>(43957+101724+36236+33512+31607+129098+16334+25653+95617+109920+29430+18756+42666+8308+11739+69904+20961+22540+10169+144059+4394913+4278+12631+32987+0+83932+13043+9143+13161+26401+433506+58713+9366+13400+29742+0)/1000</f>
        <v>6137.4059999999999</v>
      </c>
      <c r="C37" s="45">
        <f>(0+17154+6143+0+236+0+0+0+0+0+0+0+0+0+0+0+0+0+0+0+0+0+0+700+0+2223+1084+298+192+8457+3671+31711+244+341+0+0)/1000</f>
        <v>72.453999999999994</v>
      </c>
      <c r="D37" s="45">
        <f>(48299+90434+27461+36788+41620+129906+16434+26189+96223+109921+30296+20116+43139+8308+11339+71193+21227+22998+10165+101350+4573377+0+0+17105+0+84981+12196+9009+12925+31303+352332+23922+7900+11010+31199+0)/1000</f>
        <v>6130.665</v>
      </c>
      <c r="E37" s="45">
        <f t="shared" si="0"/>
        <v>6203.1189999999997</v>
      </c>
      <c r="F37" s="45">
        <f>(49527+111296+34674+37268+44629+127986+0+28931+96223+99255+30197+0+43139+8308+13303+71193+21848+23810+0+106726+4587925+0+0+942+0+85831+7834+0+13741+32806+377217+56178+5345+8391+29390+0)/1000</f>
        <v>6153.9129999999996</v>
      </c>
      <c r="G37" s="33">
        <f>IF(AND(F64&lt;&gt;0,F37&lt;&gt;0),IF(100*F37/F64&lt;0.005,"*",100*F37/F64),0)</f>
        <v>0.92781799182511426</v>
      </c>
    </row>
    <row r="38" spans="1:7" x14ac:dyDescent="0.2">
      <c r="A38" s="9" t="s">
        <v>126</v>
      </c>
      <c r="B38" s="45">
        <f>(255941+784246+450731+243162+362346+1213916+157361+162071+796285+2434869+238730+374483+224600+101983+98708+564746+331402+116589+96483+1306261+41463081+169443+291292+307248+0+2678584+1124818+626361+183979+89485+1793606+2482915+178948+45363+60331+0)/1000</f>
        <v>61810.366999999998</v>
      </c>
      <c r="C38" s="45">
        <f>(0+132253+76405+0+2710+0+0+0+0+0+0+0+0+0+0+0+0+0+0+0+0+0+0+198186+0+70353+93474+20422+4598+27211+97273+1341028+5494+1391+0+0)/1000</f>
        <v>2070.7979999999998</v>
      </c>
      <c r="D38" s="45">
        <f>(281224+697209+341576+266932+477138+1219769+148646+148454+801336+2434870+245748+375998+227091+101984+95343+575159+335600+118960+96632+1473123+46380819+0+0+281617+0+2687886+1051743+617142+165473+105719+1636352+1011653+177626+44964+63287+0)/1000</f>
        <v>64687.072999999997</v>
      </c>
      <c r="E38" s="45">
        <f t="shared" ref="E38:E63" si="1">SUM(C38:D38)</f>
        <v>66757.870999999999</v>
      </c>
      <c r="F38" s="45">
        <f>(288371+858039+431303+270416+511635+1224057+0+157599+801336+2198638+244945+0+227091+101984+111858+575160+345430+123159+0+1551260+46806990+0+0+30028+0+2716787+675598+0+175915+108057+1924663+2375711+120175+34267+59617+0)/1000</f>
        <v>65050.089</v>
      </c>
      <c r="G38" s="33">
        <f>IF(AND(F64&lt;&gt;0,F38&lt;&gt;0),IF(100*F38/F64&lt;0.005,"*",100*F38/F64),0)</f>
        <v>9.8075229441860756</v>
      </c>
    </row>
    <row r="39" spans="1:7" x14ac:dyDescent="0.2">
      <c r="A39" s="9" t="s">
        <v>127</v>
      </c>
      <c r="B39" s="45">
        <f>(134750+376053+180463+95760+120697+451219+48647+114574+353310+300438+109374+95617+170412+69638+53573+210677+107311+71629+49581+508703+10038019+41593+28460+44929+37976+412471+115275+65023+52277+80160+1179722+137044+29209+34111+60597+0)/1000</f>
        <v>15979.291999999999</v>
      </c>
      <c r="C39" s="45">
        <f>(0+63417+30591+0+903+0+0+0+0+0+0+0+0+0+0+0+0+0+0+0+0+0+0+9466+0+10832+9580+2120+755+20760+57564+74018+898+1046+0+0)/1000</f>
        <v>281.95</v>
      </c>
      <c r="D39" s="45">
        <f>(148061+334318+136760+105121+158934+465918+52465+117826+355552+300438+112590+97659+172302+69639+51746+214550+108671+73086+50014+500692+10162345+0+0+70702+0+414010+107787+64066+49214+82802+1016775+55838+29043+33811+63566+0)/1000</f>
        <v>15776.300999999999</v>
      </c>
      <c r="E39" s="45">
        <f t="shared" si="1"/>
        <v>16058.251</v>
      </c>
      <c r="F39" s="45">
        <f>(151824+411437+172685+106493+170425+466316+0+128858+355552+271289+112222+0+172302+69639+60710+214550+111854+75666+0+527752+10475812+0+0+8192+168067+418152+69238+0+52319+82174+1133976+131127+19650+25767+59879+0)/1000</f>
        <v>16223.927</v>
      </c>
      <c r="G39" s="33">
        <f>IF(AND(F64&lt;&gt;0,F39&lt;&gt;0),IF(100*F39/F64&lt;0.005,"*",100*F39/F64),0)</f>
        <v>2.4460617770607502</v>
      </c>
    </row>
    <row r="40" spans="1:7" x14ac:dyDescent="0.2">
      <c r="A40" s="9" t="s">
        <v>128</v>
      </c>
      <c r="B40" s="45">
        <f>(6011+22011+12971+9890+11477+38361+9790+10616+31761+26313+12906+20789+8139+2506+4271+22657+13908+7495+3704+23423+954367+902+8881+5857+0+39108+3688+5763+6997+57721+278268+20235+7994+11107+3338+0)/1000</f>
        <v>1703.2249999999999</v>
      </c>
      <c r="C40" s="45">
        <f>(0+3712+2199+0+86+0+0+0+0+0+0+0+0+0+0+0+0+0+0+0+0+0+0+0+0+1026+306+188+98+15714+0+10929+244+341+0+0)/1000</f>
        <v>34.843000000000004</v>
      </c>
      <c r="D40" s="45">
        <f>(6605+19568+9830+10857+15113+39503+9857+10869+32461+26313+13286+21072+8230+2506+4125+23075+14084+7647+3677+26680+860904+0+0+5422+0+39222+3448+5678+6789+63215+242037+8245+7900+11010+3502+0)/1000</f>
        <v>1562.73</v>
      </c>
      <c r="E40" s="45">
        <f t="shared" si="1"/>
        <v>1597.5730000000001</v>
      </c>
      <c r="F40" s="45">
        <f>(6773+24082+12412+10998+16206+39503+0+11886+32948+23760+13242+0+8230+2506+4840+23075+14497+7917+0+28217+793304+0+0+74+0+39614+2215+0+7218+61926+255017+19362+5345+8391+3298+0)/1000</f>
        <v>1476.856</v>
      </c>
      <c r="G40" s="33">
        <f>IF(AND(F64&lt;&gt;0,F40&lt;&gt;0),IF(100*F40/F64&lt;0.005,"*",100*F40/F64),0)</f>
        <v>0.22266378613653964</v>
      </c>
    </row>
    <row r="41" spans="1:7" x14ac:dyDescent="0.2">
      <c r="A41" s="9" t="s">
        <v>129</v>
      </c>
      <c r="B41" s="45">
        <f>(123094+357805+151684+90888+113992+556646+75142+100360+457817+725567+246019+154078+168965+70125+60869+341431+210179+163758+56752+458708+16549416+24872+41953+199499+0+592763+209579+108478+76499+44581+1414623+250709+91270+27935+57842+0)/1000</f>
        <v>24373.898000000001</v>
      </c>
      <c r="C41" s="45">
        <f>(0+60339+25713+0+853+0+0+0+0+0+0+0+0+0+0+0+0+0+0+0+0+0+0+3073+0+15564+17416+3537+1132+18976+151731+135409+2802+856+0+0)/1000</f>
        <v>437.40100000000001</v>
      </c>
      <c r="D41" s="45">
        <f>(135254+318095+114950+99773+150105+581305+74463+134105+460721+725566+253253+156515+170839+70124+58794+347727+212841+167088+56757+520821+16898742+0+0+146482+0+594867+195963+106881+68819+72639+1305440+102150+90593+27690+60676+0)/1000</f>
        <v>24480.038</v>
      </c>
      <c r="E41" s="45">
        <f t="shared" si="1"/>
        <v>24917.439000000002</v>
      </c>
      <c r="F41" s="45">
        <f>(138691+391472+145146+101075+160958+581230+0+146253+460721+655171+252425+0+170839+70125+68978+347727+219076+172987+0+548447+17046433+0+0+4062+0+600818+125879+0+73162+75014+1380280+239885+61293+21103+57157+0)/1000</f>
        <v>24316.406999999999</v>
      </c>
      <c r="G41" s="33">
        <f>IF(AND(F64&lt;&gt;0,F41&lt;&gt;0),IF(100*F41/F64&lt;0.005,"*",100*F41/F64),0)</f>
        <v>3.6661551619501527</v>
      </c>
    </row>
    <row r="42" spans="1:7" x14ac:dyDescent="0.2">
      <c r="A42" s="9" t="s">
        <v>130</v>
      </c>
      <c r="B42" s="45">
        <f>(59208+167688+55888+62510+122442+188010+24405+41388+155678+144794+40718+36846+70890+24910+22880+119170+64280+69700+19172+263996+2957516+8557+11113+26947+0+144381+44887+25545+22357+42682+687483+60951+14184+16031+35915+0)/1000</f>
        <v>5853.1220000000003</v>
      </c>
      <c r="C42" s="45">
        <f>(0+28279+9474+0+916+0+0+0+0+0+0+0+0+0+0+0+0+0+0+0+0+0+0+0+0+3820+3730+833+334+9647+38273+32920+402+483+0+0)/1000</f>
        <v>129.11099999999999</v>
      </c>
      <c r="D42" s="45">
        <f>(65057+149078+42353+68621+161232+191580+25113+42141+156666+144793+41915+38552+71677+24910+22100+121363+65094+71118+19137+233625+3159129+0+0+26630+0+145993+41972+25169+20578+36763+618308+24834+13001+15609+37675+0)/1000</f>
        <v>5921.7860000000001</v>
      </c>
      <c r="E42" s="45">
        <f t="shared" si="1"/>
        <v>6050.8969999999999</v>
      </c>
      <c r="F42" s="45">
        <f>(66710+183466+53479+69516+172889+191524+0+50472+156666+130745+41778+0+71677+24910+25928+121363+67001+73628+0+246017+3340436+0+0+362+0+147454+26961+0+21876+37579+651476+58319+8796+11896+35490+0)/1000</f>
        <v>6088.4139999999998</v>
      </c>
      <c r="G42" s="33">
        <f>IF(AND(F64&lt;&gt;0,F42&lt;&gt;0),IF(100*F42/F64&lt;0.005,"*",100*F42/F64),0)</f>
        <v>0.91794278711446065</v>
      </c>
    </row>
    <row r="43" spans="1:7" x14ac:dyDescent="0.2">
      <c r="A43" s="9" t="s">
        <v>131</v>
      </c>
      <c r="B43" s="45">
        <f>(39776+115843+70328+34699+92157+147031+19825+47268+135039+166041+78916+36059+58378+19409+20242+89625+105689+39047+20002+395925+7490519+6037+18755+39414+0+274710+19599+11152+46700+54610+517269+113628+18315+14654+23574+0)/1000</f>
        <v>10380.235000000001</v>
      </c>
      <c r="C43" s="45">
        <f>(0+19535+11922+0+689+0+0+0+0+0+0+0+0+0+0+0+0+0+0+0+0+0+0+517+0+7241+1629+364+701+12908+45552+61371+562+448+0+0)/1000</f>
        <v>163.43899999999999</v>
      </c>
      <c r="D43" s="45">
        <f>(43705+102986+53296+38091+121352+146067+19855+43265+135895+165835+81237+36207+59025+19409+19552+91276+107028+39841+20168+370148+7917473+0+0+34558+0+276733+18326+10988+45669+53531+485247+46297+18179+14486+24729+0)/1000</f>
        <v>10660.454</v>
      </c>
      <c r="E43" s="45">
        <f t="shared" si="1"/>
        <v>10823.893</v>
      </c>
      <c r="F43" s="45">
        <f>(44816+126743+67297+38588+130126+145835+0+46273+135895+149746+80971+0+59025+19409+22939+91276+110163+41247+0+391333+8036471+0+0+648+0+279502+11772+0+48550+50664+513420+108722+12299+11040+23295+0)/1000</f>
        <v>10798.065000000001</v>
      </c>
      <c r="G43" s="33">
        <f>IF(AND(F64&lt;&gt;0,F43&lt;&gt;0),IF(100*F43/F64&lt;0.005,"*",100*F43/F64),0)</f>
        <v>1.6280111506121477</v>
      </c>
    </row>
    <row r="44" spans="1:7" x14ac:dyDescent="0.2">
      <c r="A44" s="9" t="s">
        <v>132</v>
      </c>
      <c r="B44" s="45">
        <f>(124176+396665+181187+120638+180813+644635+80447+142807+446897+717126+190189+214815+150325+55337+62345+314025+192436+119888+62469+558435+18621112+39338+75896+281504+0+671349+353709+169690+125948+72252+1884467+494040+64221+34202+54314+0)/1000</f>
        <v>27897.697</v>
      </c>
      <c r="C44" s="45">
        <f>(0+66893+30714+0+1352+0+0+0+0+0+0+0+0+0+0+0+0+0+0+0+0+0+0+7040+0+17617+29394+5533+1800+18085+46715+266832+1971+1049+0+0)/1000</f>
        <v>494.995</v>
      </c>
      <c r="D44" s="45">
        <f>(136443+352642+137308+132431+238095+630584+76780+129097+449732+717125+195780+208574+151991+55337+60220+319812+194875+122326+62342+668188+19229771+0+0+180895+0+673311+330730+167193+112067+68249+1599547+201294+63745+33902+56975+0)/1000</f>
        <v>27757.361000000001</v>
      </c>
      <c r="E44" s="45">
        <f t="shared" si="1"/>
        <v>28252.356</v>
      </c>
      <c r="F44" s="45">
        <f>(139910+433989+173377+134159+255309+622183+0+140270+449732+647549+195140+0+151991+55337+70651+319812+200582+126644+0+703631+21551168+0+0+4974+0+680047+212448+0+119139+71439+1685300+472709+43128+25837+53671+0)/1000</f>
        <v>29740.126</v>
      </c>
      <c r="G44" s="33">
        <f>IF(AND(F64&lt;&gt;0,F44&lt;&gt;0),IF(100*F44/F64&lt;0.005,"*",100*F44/F64),0)</f>
        <v>4.4838826908904741</v>
      </c>
    </row>
    <row r="45" spans="1:7" x14ac:dyDescent="0.2">
      <c r="A45" s="9" t="s">
        <v>133</v>
      </c>
      <c r="B45" s="45">
        <f>(10062+30594+16981+9185+13984+52883+9790+11766+45907+94708+9779+26862+11735+6634+4668+30584+11548+7714+5162+77121+1852642+6251+11856+21087+0+88536+40449+20877+12346+1887+222172+47577+10886+11107+7543+0)/1000</f>
        <v>2842.8829999999998</v>
      </c>
      <c r="C45" s="45">
        <f>(0+5159+2879+0+105+0+0+0+0+0+0+0+0+0+0+0+0+0+0+0+0+0+0+3210+0+2338+3361+681+187+7018+11006+25697+334+341+0+0)/1000</f>
        <v>62.316000000000003</v>
      </c>
      <c r="D45" s="45">
        <f>(11056+27199+12869+10083+18414+53635+9857+10869+46198+94708+10067+23922+11866+6634+4509+31147+11694+7871+5159+92975+1872169+0+0+13087+0+89339+37821+20570+12159+17194+209897+19385+10806+11010+7913+0)/1000</f>
        <v>2822.0819999999999</v>
      </c>
      <c r="E45" s="45">
        <f t="shared" si="1"/>
        <v>2884.3979999999997</v>
      </c>
      <c r="F45" s="45">
        <f>(11337+33473+16249+10214+19746+53779+0+11886+46198+85519+10034+0+11866+6634+5290+31147+12037+8148+0+97907+2012091+0+0+3432+0+90233+24295+0+12926+27033+224641+45523+7311+8391+7454+0)/1000</f>
        <v>2934.7939999999999</v>
      </c>
      <c r="G45" s="33">
        <f>IF(AND(F64&lt;&gt;0,F45&lt;&gt;0),IF(100*F45/F64&lt;0.005,"*",100*F45/F64),0)</f>
        <v>0.44247532838055953</v>
      </c>
    </row>
    <row r="46" spans="1:7" x14ac:dyDescent="0.2">
      <c r="A46" s="9" t="s">
        <v>134</v>
      </c>
      <c r="B46" s="45">
        <f>(81130+210498+84650+35722+39050+243788+27010+67922+185646+99638+76763+43111+90489+9867+24675+116935+40627+21395+24242+163984+4629433+36589+14489+44112+78110+171800+54418+32356+28030+66330+717159+76674+16609+14385+27115+0)/1000</f>
        <v>7694.7510000000002</v>
      </c>
      <c r="C46" s="45">
        <f>(0+35498+14349+0+292+0+0+0+0+0+0+0+0+0+0+0+0+0+0+0+0+0+0+621+0+4504+4522+1055+768+16268+41497+41412+510+441+0+0)/1000</f>
        <v>161.73699999999999</v>
      </c>
      <c r="D46" s="45">
        <f>(89144+187136+64150+39214+51421+254610+28620+62883+186823+99638+79020+45958+91493+9867+23833+119087+41142+21830+24460+184648+4593869+0+0+36853+0+172141+50883+31880+27080+64973+651433+31240+16486+14259+28444+0)/1000</f>
        <v>7424.518</v>
      </c>
      <c r="E46" s="45">
        <f t="shared" si="1"/>
        <v>7586.2550000000001</v>
      </c>
      <c r="F46" s="45">
        <f>(91410+230305+81001+39726+55139+255159+0+68403+186823+89971+78761+0+91493+9867+27962+119087+42347+22600+0+195156+4640072+0+0+502+213224+173863+32685+0+28788+64147+687850+73363+11154+10867+26794+0)/1000</f>
        <v>7648.5190000000002</v>
      </c>
      <c r="G46" s="33">
        <f>IF(AND(F64&lt;&gt;0,F46&lt;&gt;0),IF(100*F46/F64&lt;0.005,"*",100*F46/F64),0)</f>
        <v>1.1531579239121892</v>
      </c>
    </row>
    <row r="47" spans="1:7" x14ac:dyDescent="0.2">
      <c r="A47" s="9" t="s">
        <v>135</v>
      </c>
      <c r="B47" s="45">
        <f>(7561+29023+16218+8144+8744+48573+9790+10716+37415+21207+8179+18749+12775+1711+5116+25418+6374+4962+4230+28763+595616+940+8162+6674+0+32352+3186+3775+4906+20618+310543+16977+7959+11107+4543+0)/1000</f>
        <v>1341.0260000000001</v>
      </c>
      <c r="C47" s="45">
        <f>(0+4894+2749+0+65+0+0+0+0+0+0+0+0+0+0+0+0+0+0+0+0+0+0+492+0+855+265+123+73+6773+14190+9169+244+341+0+0)/1000</f>
        <v>40.232999999999997</v>
      </c>
      <c r="D47" s="45">
        <f>(8308+25802+12290+8940+11514+48946+9857+10869+37703+21207+8420+19004+12917+1711+4941+25887+6454+5063+4234+31233+561393+0+0+6590+0+32685+2980+3720+4612+26195+273501+6917+7900+11010+4766+0)/1000</f>
        <v>1257.569</v>
      </c>
      <c r="E47" s="45">
        <f t="shared" si="1"/>
        <v>1297.8019999999999</v>
      </c>
      <c r="F47" s="45">
        <f>(8519+31754+15519+9057+12347+48946+0+11886+37703+19150+8392+0+12917+1711+5797+25887+6643+5242+0+33088+567556+0+0+588+0+33012+1914+0+4902+26050+289678+16244+5345+8391+4489+0)/1000</f>
        <v>1252.7270000000001</v>
      </c>
      <c r="G47" s="33">
        <f>IF(AND(F64&lt;&gt;0,F47&lt;&gt;0),IF(100*F47/F64&lt;0.005,"*",100*F47/F64),0)</f>
        <v>0.18887212891132849</v>
      </c>
    </row>
    <row r="48" spans="1:7" x14ac:dyDescent="0.2">
      <c r="A48" s="9" t="s">
        <v>136</v>
      </c>
      <c r="B48" s="45">
        <f>(113752+284569+114389+67387+77377+309747+36483+59512+249312+190892+84579+63979+118502+37702+33745+161868+54449+57129+32500+493200+7311062+28274+16858+49778+0+246374+101554+65250+37281+95506+958295+120731+23511+19293+51015+0)/1000</f>
        <v>11765.855</v>
      </c>
      <c r="C48" s="45">
        <f>(0+47989+19391+0+579+0+0+0+0+0+0+0+0+0+0+0+0+0+0+0+0+0+0+0+0+6499+8439+2127+1196+16694+37256+65207+723+591+0+0)/1000</f>
        <v>206.691</v>
      </c>
      <c r="D48" s="45">
        <f>(124989+252987+86687+73974+101890+308792+37863+78418+250893+190892+87065+66315+119816+37702+32595+164851+55139+58291+32695+234625+8101218+0+0+49193+0+248406+94956+64289+29935+69798+813345+49191+23377+19125+53515+0)/1000</f>
        <v>12012.826999999999</v>
      </c>
      <c r="E48" s="45">
        <f t="shared" si="1"/>
        <v>12219.518</v>
      </c>
      <c r="F48" s="45">
        <f>(128165+311345+109458+74940+109257+309388+0+85195+250893+172371+86781+0+119816+37702+38241+164851+56754+60348+0+247535+8364777+0+0+670+0+250891+60996+0+31823+65857+868005+115518+15816+14575+50411+0)/1000</f>
        <v>12202.379000000001</v>
      </c>
      <c r="G48" s="33">
        <f>IF(AND(F64&lt;&gt;0,F48&lt;&gt;0),IF(100*F48/F64&lt;0.005,"*",100*F48/F64),0)</f>
        <v>1.8397378674786187</v>
      </c>
    </row>
    <row r="49" spans="1:7" x14ac:dyDescent="0.2">
      <c r="A49" s="9" t="s">
        <v>137</v>
      </c>
      <c r="B49" s="45">
        <f>(593791+1509891+511128+406700+218503+1511186+176878+247137+1068319+484652+341435+152270+521274+59844+171126+642484+202555+141678+136148+1476320+22922756+95267+115271+285211+5374028+1166191+170203+106627+139426+224608+3894962+514037+74102+87040+180384+0)/1000</f>
        <v>45923.432000000001</v>
      </c>
      <c r="C49" s="45">
        <f>(0+254624+86644+0+1634+0+0+0+0+0+0+0+0+0+0+0+0+0+0+0+0+0+0+84985+652175+30616+14144+3477+1912+62670+208194+277632+2275+2668+0+0)/1000</f>
        <v>1683.65</v>
      </c>
      <c r="D49" s="45">
        <f>(652449+1342320+387347+446456+287725+1511836+183911+261101+1075096+484652+351472+162631+527053+59843+165291+654324+205122+144560+137795+1510172+24703496+0+0+151194+0+1169123+159146+105057+129774+242201+3424757+209442+73552+86276+189223+0)/1000</f>
        <v>41194.396999999997</v>
      </c>
      <c r="E49" s="45">
        <f t="shared" si="1"/>
        <v>42878.046999999999</v>
      </c>
      <c r="F49" s="45">
        <f>(669029+1651962+489097+452284+308528+1517927+0+306728+1075096+437631+350324+0+527053+59844+193922+654324+211129+149663+0+1600031+24672989+0+0+85431+4383085+1182830+102229+0+137964+250342+3550365+491842+49763+65750+178248+0)/1000</f>
        <v>45805.41</v>
      </c>
      <c r="G49" s="33">
        <f>IF(AND(F64&lt;&gt;0,F49&lt;&gt;0),IF(100*F49/F64&lt;0.005,"*",100*F49/F64),0)</f>
        <v>6.9060260554424495</v>
      </c>
    </row>
    <row r="50" spans="1:7" x14ac:dyDescent="0.2">
      <c r="A50" s="9" t="s">
        <v>138</v>
      </c>
      <c r="B50" s="45">
        <f>(22793+101037+43266+28379+16865+81378+13851+33943+120755+75356+28680+25219+58599+12592+21904+61626+28624+10879+14909+140549+1873350+7487+9322+21357+0+81384+4117+4321+22751+51185+374604+107856+8543+11107+8577+0)/1000</f>
        <v>3527.165</v>
      </c>
      <c r="C50" s="45">
        <f>(0+17039+7334+0+126+0+0+0+0+0+0+0+0+0+0+0+0+0+0+0+0+0+0+1538+0+2109+342+141+324+11910+17471+58253+262+341+0+0)/1000</f>
        <v>117.19</v>
      </c>
      <c r="D50" s="45">
        <f>(25045+89824+32788+31153+22208+81859+14158+35086+121521+75356+29523+25562+59249+12592+21158+62761+28986+11100+15101+135050+1888082+0+0+19603+0+80623+3850+4257+22798+47015+338528+43945+8479+11010+8997+0)/1000</f>
        <v>3407.2669999999998</v>
      </c>
      <c r="E50" s="45">
        <f t="shared" si="1"/>
        <v>3524.4569999999999</v>
      </c>
      <c r="F50" s="45">
        <f>(25681+110544+41401+31560+23814+82040+0+37997+123344+68045+29426+0+59249+12592+24822+62761+29835+11492+0+142938+1879262+0+0+1826+0+81430+2473+0+24237+46660+356682+103199+5737+8391+8475+0)/1000</f>
        <v>3435.913</v>
      </c>
      <c r="G50" s="33">
        <f>IF(AND(F64&lt;&gt;0,F50&lt;&gt;0),IF(100*F50/F64&lt;0.005,"*",100*F50/F64),0)</f>
        <v>0.51802843162485468</v>
      </c>
    </row>
    <row r="51" spans="1:7" x14ac:dyDescent="0.2">
      <c r="A51" s="9" t="s">
        <v>139</v>
      </c>
      <c r="B51" s="45">
        <f>(6622+15875+12425+6408+9099+36687+9790+11334+30624+47197+10490+20376+6554+3945+2729+19665+10478+10003+3052+32027+1079890+907+8995+8399+0+59692+3885+2692+7181+11127+221347+28013+7959+11107+3487+0)/1000</f>
        <v>1760.0609999999999</v>
      </c>
      <c r="C51" s="45">
        <f>(0+2677+2106+0+68+0+0+0+0+0+0+0+0+0+0+0+0+0+0+0+0+0+0+0+0+1539+323+88+102+5686+10933+15130+244+341+0+0)/1000</f>
        <v>39.237000000000002</v>
      </c>
      <c r="D51" s="45">
        <f>(7276+14113+9416+7034+11982+36867+9857+10869+31299+47197+10798+20653+6627+3945+2636+20027+10611+10207+3036+28251+1098178+0+0+7589+0+58833+3633+2653+6839+18781+197508+11414+7900+11010+3658+0)/1000</f>
        <v>1730.6969999999999</v>
      </c>
      <c r="E51" s="45">
        <f t="shared" si="1"/>
        <v>1769.934</v>
      </c>
      <c r="F51" s="45">
        <f>(7461+17369+11889+7126+12848+36867+0+11886+31769+42618+10763+0+6627+3945+3092+20027+10921+10567+0+29749+1075349+0+0+103+0+59422+2334+0+7270+21687+216857+26804+5345+8391+3446+0)/1000</f>
        <v>1702.5319999999999</v>
      </c>
      <c r="G51" s="33">
        <f>IF(AND(F64&lt;&gt;0,F51&lt;&gt;0),IF(100*F51/F64&lt;0.005,"*",100*F51/F64),0)</f>
        <v>0.25668868267360873</v>
      </c>
    </row>
    <row r="52" spans="1:7" x14ac:dyDescent="0.2">
      <c r="A52" s="9" t="s">
        <v>140</v>
      </c>
      <c r="B52" s="45">
        <f>(91222+242989+102783+51891+116926+266414+37195+77851+298100+157763+76919+91765+97681+21329+42443+137254+71888+58952+41103+308267+5540650+37350+23437+53730+0+448869+78634+45268+37993+62447+1140334+159496+33180+18123+37419+0)/1000</f>
        <v>10107.665000000001</v>
      </c>
      <c r="C52" s="45">
        <f>(0+40977+17423+0+875+0+0+0+0+0+0+0+0+0+0+0+0+0+0+0+0+0+0+10413+0+11802+6535+1476+543+17763+39924+86144+1019+556+0+0)/1000</f>
        <v>235.45</v>
      </c>
      <c r="D52" s="45">
        <f>(100233+216022+77892+56964+153968+279184+37816+72080+299991+157763+79180+92221+98764+21329+40995+139784+72799+60151+41234+378406+7648303+0+0+50962+0+451053+73526+44602+36086+64408+983084+64986+32933+17964+39253+0)/1000</f>
        <v>11983.936</v>
      </c>
      <c r="E52" s="45">
        <f t="shared" si="1"/>
        <v>12219.386</v>
      </c>
      <c r="F52" s="45">
        <f>(102781+265853+98353+57707+165100+281063+0+80132+299991+142457+78921+0+98764+21329+48097+139784+74931+62275+0+398477+9505692+0+0+5289+0+455566+47230+0+38362+70148+1045267+152610+22282+13690+36976+0)/1000</f>
        <v>13809.127</v>
      </c>
      <c r="G52" s="33">
        <f>IF(AND(F64&lt;&gt;0,F52&lt;&gt;0),IF(100*F52/F64&lt;0.005,"*",100*F52/F64),0)</f>
        <v>2.0819853127592096</v>
      </c>
    </row>
    <row r="53" spans="1:7" x14ac:dyDescent="0.2">
      <c r="A53" s="9" t="s">
        <v>141</v>
      </c>
      <c r="B53" s="45">
        <f>(57404+200052+126441+48332+116217+228027+33289+63321+231413+379058+106094+58193+86884+41883+37498+149498+81369+56641+35612+259291+8220914+13871+32875+62471+0+604338+59948+35542+81025+92426+705063+217433+28194+24815+25730+0)/1000</f>
        <v>12601.162</v>
      </c>
      <c r="C53" s="45">
        <f>(0+33736+21434+0+869+0+0+0+0+0+0+0+0+0+0+0+0+0+0+0+0+0+0+13674+0+15909+4982+1159+2116+18793+34943+117436+866+761+0+0)/1000</f>
        <v>266.678</v>
      </c>
      <c r="D53" s="45">
        <f>(63075+177850+95820+53057+153035+256793+34010+59164+232882+379058+109213+58484+87848+41883+36219+152253+82400+57793+36053+236313+8455424+0+0+45495+0+607941+56053+35019+73058+76536+659665+88592+27985+24597+26991+0)/1000</f>
        <v>12580.558999999999</v>
      </c>
      <c r="E53" s="45">
        <f t="shared" si="1"/>
        <v>12847.236999999999</v>
      </c>
      <c r="F53" s="45">
        <f>(64678+218876+120991+53749+164099+257637+0+63013+232882+342282+108856+0+87848+41882+42493+152253+84814+59833+0+251080+8703285+0+0+11176+0+614023+36006+0+77668+74280+696329+208045+18934+18745+25425+0)/1000</f>
        <v>12831.182000000001</v>
      </c>
      <c r="G53" s="33">
        <f>IF(AND(F64&lt;&gt;0,F53&lt;&gt;0),IF(100*F53/F64&lt;0.005,"*",100*F53/F64),0)</f>
        <v>1.9345417323875973</v>
      </c>
    </row>
    <row r="54" spans="1:7" x14ac:dyDescent="0.2">
      <c r="A54" s="9" t="s">
        <v>142</v>
      </c>
      <c r="B54" s="45">
        <f>(42428+81246+33527+16737+17918+97078+16324+29402+79725+109813+27876+30987+31980+8727+8863+67331+54127+39633+8947+64647+3277623+2451+13042+35815+45595+81608+20420+13665+11473+27795+493858+23667+25273+11107+11758+0)/1000</f>
        <v>4962.4660000000003</v>
      </c>
      <c r="C54" s="45">
        <f>(0+13701+5683+0+134+0+0+0+0+0+0+0+0+0+0+0+0+0+0+0+0+0+0+0+0+2166+1697+446+176+5194+35885+12783+776+341+0+0)/1000</f>
        <v>78.981999999999999</v>
      </c>
      <c r="D54" s="45">
        <f>(46619+72229+25408+18373+23594+100858+15464+26741+80231+109813+28695+31409+32335+8727+8561+68573+54813+40439+8840+77391+3472403+0+0+20176+0+82802+19094+13464+10128+21230+426053+9643+25086+11010+12334+0)/1000</f>
        <v>5002.5360000000001</v>
      </c>
      <c r="E54" s="45">
        <f t="shared" si="1"/>
        <v>5081.518</v>
      </c>
      <c r="F54" s="45">
        <f>(47804+88891+32082+18613+25300+101595+0+29411+80231+99159+28601+0+32335+8727+10044+68573+56418+41867+0+81496+3689207+0+0+275+106494+83630+12265+0+10768+19711+448903+22645+16973+8391+11619+0)/1000</f>
        <v>5282.0280000000002</v>
      </c>
      <c r="G54" s="33">
        <f>IF(AND(F64&lt;&gt;0,F54&lt;&gt;0),IF(100*F54/F64&lt;0.005,"*",100*F54/F64),0)</f>
        <v>0.79636494889089682</v>
      </c>
    </row>
    <row r="55" spans="1:7" x14ac:dyDescent="0.2">
      <c r="A55" s="9" t="s">
        <v>143</v>
      </c>
      <c r="B55" s="45">
        <f>(53683+171224+81053+38267+65187+207351+32629+65053+218219+312846+79603+105308+74641+24511+29024+130870+67240+47367+28237+237692+5654368+11151+15091+92860+0+170034+19781+25495+60010+54082+816905+68648+43930+18931+36992+0)/1000</f>
        <v>9158.2829999999994</v>
      </c>
      <c r="C55" s="45">
        <f>(0+28875+13740+0+488+0+0+0+0+0+0+0+0+0+0+0+0+0+0+0+0+0+0+3131+0+4447+1644+831+852+12965+55450+37077+1346+580+0+0)/1000</f>
        <v>161.42599999999999</v>
      </c>
      <c r="D55" s="45">
        <f>(58986+152221+61424+42008+85838+204967+31595+62090+219604+312846+81943+105734+75469+24511+28034+133280+68092+48330+28214+272798+5654390+0+0+57732+0+169962+18496+25120+54716+47915+733551+27970+43505+18766+38805+0)/1000</f>
        <v>8988.9120000000003</v>
      </c>
      <c r="E55" s="45">
        <f t="shared" si="1"/>
        <v>9150.3379999999997</v>
      </c>
      <c r="F55" s="45">
        <f>(60485+187335+77559+42556+92045+205389+0+68056+219604+282494+81675+0+75469+24511+32890+133280+70086+50036+0+287268+5857638+0+0+3960+0+171662+11881+0+58168+50896+772891+65684+29434+14301+36554+0)/1000</f>
        <v>9063.8070000000007</v>
      </c>
      <c r="G55" s="33">
        <f>IF(AND(F64&lt;&gt;0,F55&lt;&gt;0),IF(100*F55/F64&lt;0.005,"*",100*F55/F64),0)</f>
        <v>1.3665391774356275</v>
      </c>
    </row>
    <row r="56" spans="1:7" x14ac:dyDescent="0.2">
      <c r="A56" s="9" t="s">
        <v>144</v>
      </c>
      <c r="B56" s="45">
        <f>(4155+14857+7806+4663+7208+35889+9790+10616+32127+18429+8139+9903+6259+2815+3220+18038+4510+882+2861+13392+389280+753+7325+3221+0+16029+2327+1542+8528+22134+296534+14649+7959+0+4428+0)/1000</f>
        <v>990.26800000000003</v>
      </c>
      <c r="C56" s="45">
        <f>(0+2505+1323+0+54+0+0+0+0+0+0+0+0+0+0+0+0+0+0+0+0+0+0+369+0+399+193+50+121+7958+24909+7912+244+341+0+0)/1000</f>
        <v>46.378</v>
      </c>
      <c r="D56" s="45">
        <f>(4565+13208+5916+5119+9492+38572+9857+10869+32836+18429+8379+10038+6329+2815+3110+18371+4567+900+2820+13382+389019+0+0+3766+0+15253+2175+1519+7766+28761+249756+5969+7900+11010+4645+0)/1000</f>
        <v>947.11300000000006</v>
      </c>
      <c r="E56" s="45">
        <f t="shared" si="1"/>
        <v>993.4910000000001</v>
      </c>
      <c r="F56" s="45">
        <f>(4681+16255+7470+5186+10178+38572+0+11886+33328+16641+8351+0+6329+2815+3649+18371+4701+932+0+14092+389711+0+0+51+0+15406+1397+0+8257+30803+263149+14016+5345+8391+4376+0)/1000</f>
        <v>944.33900000000006</v>
      </c>
      <c r="G56" s="33">
        <f>IF(AND(F64&lt;&gt;0,F56&lt;&gt;0),IF(100*F56/F64&lt;0.005,"*",100*F56/F64),0)</f>
        <v>0.14237684455112329</v>
      </c>
    </row>
    <row r="57" spans="1:7" x14ac:dyDescent="0.2">
      <c r="A57" s="9" t="s">
        <v>145</v>
      </c>
      <c r="B57" s="45">
        <f>(0+0+7206+0+0+19323+2456+898+6369+0+0+301+6835+0+0+3778+0+0+56+3073+20749+33+1908+1969+0+0+0+0+0+24804+2531+1670+9323+4184+820+0)/1000</f>
        <v>118.286</v>
      </c>
      <c r="C57" s="45">
        <f>(0+0+1222+0+0+0+0+0+0+0+0+0+0+0+0+0+0+0+0+0+0+0+0+0+0+0+0+0+0+0+7659+902+270+128+0+0)/1000</f>
        <v>10.180999999999999</v>
      </c>
      <c r="D57" s="45">
        <f>(0+0+5461+0+0+19447+2574+919+7130+0+0+305+6901+0+0+3848+0+0+57+4832+19426+0+0+942+0+0+0+0+0+15422+3304+680+8723+4148+860+0)/1000</f>
        <v>104.979</v>
      </c>
      <c r="E57" s="45">
        <f t="shared" si="1"/>
        <v>115.16</v>
      </c>
      <c r="F57" s="45">
        <f>(0+0+6895+0+0+19447+0+992+7130+0+0+0+6901+0+0+3848+0+0+0+5088+18426+0+0+13+0+0+0+0+0+11114+15843+1597+5904+3161+810+0)/1000</f>
        <v>107.169</v>
      </c>
      <c r="G57" s="33">
        <f>IF(AND(F64&lt;&gt;0,F57&lt;&gt;0),IF(100*F57/F64&lt;0.005,"*",100*F57/F64),0)</f>
        <v>1.6157740021008695E-2</v>
      </c>
    </row>
    <row r="58" spans="1:7" x14ac:dyDescent="0.2">
      <c r="A58" s="9" t="s">
        <v>146</v>
      </c>
      <c r="B58" s="45">
        <f>(3258+8773+9606+459+2042+20936+3878+1902+14121+3454+4379+660+9849+0+0+3076+0+0+274+28144+61698+265+1982+3051+0+31201+5023+2236+0+20518+9102+0+7725+4349+851+0)/1000</f>
        <v>262.81200000000001</v>
      </c>
      <c r="C58" s="45">
        <f>(0+1479+1628+0+15+0+0+0+0+0+0+0+0+0+0+0+0+0+0+0+0+0+0+0+0+798+417+73+0+0+0+0+195+119+0+0)/1000</f>
        <v>4.7240000000000002</v>
      </c>
      <c r="D58" s="45">
        <f>(3580+7799+7280+504+2689+21071+3818+3053+16818+3454+4508+669+9943+0+0+3133+0+0+275+32227+54484+0+0+3060+0+30506+4697+2203+0+10515+11967+0+6312+3856+893+0)/1000</f>
        <v>249.31399999999999</v>
      </c>
      <c r="E58" s="45">
        <f t="shared" si="1"/>
        <v>254.03799999999998</v>
      </c>
      <c r="F58" s="45">
        <f>(3671+9598+9192+510+2883+21071+0+3330+16818+3119+4493+0+9943+0+0+3133+0+0+0+33936+42406+0+0+42+0+30811+3017+0+0+6717+12283+0+4272+2938+841+0)/1000</f>
        <v>225.024</v>
      </c>
      <c r="G58" s="33">
        <f>IF(AND(F64&lt;&gt;0,F58&lt;&gt;0),IF(100*F58/F64&lt;0.005,"*",100*F58/F64),0)</f>
        <v>3.3926595288632538E-2</v>
      </c>
    </row>
    <row r="59" spans="1:7" x14ac:dyDescent="0.2">
      <c r="A59" s="9" t="s">
        <v>147</v>
      </c>
      <c r="B59" s="45">
        <f>(0+0+4610+0+0+11680+1513+854+4839+0+0+229+4276+0+0+3311+0+0+55+7101+27208+65+1908+1002+0+2915+0+0+0+8662+3668+826+4779+5559+695+0)/1000</f>
        <v>95.754999999999995</v>
      </c>
      <c r="C59" s="45">
        <f>(0+0+781+0+0+0+0+0+0+0+0+0+0+0+0+0+0+0+0+0+0+0+0+0+0+57+0+0+0+0+2420+446+125+100+0+0)/1000</f>
        <v>3.9289999999999998</v>
      </c>
      <c r="D59" s="45">
        <f>(0+0+3494+0+0+11755+1584+854+5089+0+0+232+4317+0+0+3372+0+0+55+11196+9777+0+0+955+0+2179+0+0+0+7334+4694+337+4055+3247+729+0)/1000</f>
        <v>75.254999999999995</v>
      </c>
      <c r="E59" s="45">
        <f t="shared" si="1"/>
        <v>79.183999999999997</v>
      </c>
      <c r="F59" s="45">
        <f>(0+0+4411+0+0+11755+0+934+5089+0+0+0+4317+0+0+3372+0+0+0+11790+6700+0+0+13+0+2201+0+0+0+6581+4822+790+2744+2474+687+0)/1000</f>
        <v>68.680000000000007</v>
      </c>
      <c r="G59" s="33">
        <f>IF(AND(F64&lt;&gt;0,F59&lt;&gt;0),IF(100*F59/F64&lt;0.005,"*",100*F59/F64),0)</f>
        <v>1.0354800218746813E-2</v>
      </c>
    </row>
    <row r="60" spans="1:7" x14ac:dyDescent="0.2">
      <c r="A60" s="9" t="s">
        <v>148</v>
      </c>
      <c r="B60" s="45">
        <f>(25942+110701+196664+19673+0+396257+59343+68027+127835+71326+24439+16376+52626+0+0+302032+4151+934+8213+203834+2927201+50566+10576+82190+1507179+198627+270265+158447+15274+17491+266291+81490+17503+8241+27638+0)/1000</f>
        <v>7327.3519999999999</v>
      </c>
      <c r="C60" s="45">
        <f>(0+18668+33337+0+0+0+0+0+0+0+0+0+0+0+0+0+0+0+0+0+0+0+0+674+8220783+5245+22459+5166+213+0+311844+44013+649+341+0+0)/1000</f>
        <v>8663.3919999999998</v>
      </c>
      <c r="D60" s="45">
        <f>(28505+98415+149037+21596+0+405080+57993+68073+128646+71326+25157+16598+53210+0+0+307607+4204+953+8248+182575+2656665+0+0+55902+0+200468+252707+156115+12352+8989+136527+33203+20989+11010+28992+0)/1000</f>
        <v>5201.1419999999998</v>
      </c>
      <c r="E60" s="45">
        <f t="shared" si="1"/>
        <v>13864.534</v>
      </c>
      <c r="F60" s="45">
        <f>(29229+121117+188187+21878+0+408637+0+71299+129847+64406+25075+0+53210+0+0+307607+4327+986+0+192259+366700+0+0+1445+10217631+202474+162329+0+13131+10855+150574+77971+14200+8391+27311+0)/1000</f>
        <v>12871.075999999999</v>
      </c>
      <c r="G60" s="33">
        <f>IF(AND(F64&lt;&gt;0,F60&lt;&gt;0),IF(100*F60/F64&lt;0.005,"*",100*F60/F64),0)</f>
        <v>1.9405565023341123</v>
      </c>
    </row>
    <row r="61" spans="1:7" x14ac:dyDescent="0.2">
      <c r="A61" s="9" t="s">
        <v>149</v>
      </c>
      <c r="B61" s="45">
        <f>(0+0+0+0+0+1000+0+0+6579+0+0+0+0+0+0+1734+0+0+0+0+0+103+50+0+0+0+0+0+0+673+0+0+0+0+0+0)/1000</f>
        <v>10.138999999999999</v>
      </c>
      <c r="C61" s="45">
        <f>(0+0+0+0+0+0+0+0+0+0+0+0+0+0+0+0+0+0+0+0+0+0+0+0+0+0+0+0+0+0+0+0+0+0+0+0)/1000</f>
        <v>0</v>
      </c>
      <c r="D61" s="45">
        <f>(0+0+0+0+0+1000+0+0+6579+0+0+0+0+0+0+1766+0+0+0+0+0+0+0+0+0+0+0+0+0+9129+0+0+0+0+0+0)/1000</f>
        <v>18.474</v>
      </c>
      <c r="E61" s="45">
        <f t="shared" si="1"/>
        <v>18.474</v>
      </c>
      <c r="F61" s="45">
        <f>(0+0+0+0+0+1000+0+0+6579+0+0+0+0+0+0+1766+0+0+0+0+0+0+0+0+0+0+0+0+0+15437+0+0+0+0+0+0)/1000</f>
        <v>24.782</v>
      </c>
      <c r="G61" s="33" t="str">
        <f>IF(AND(F64&lt;&gt;0,F61&lt;&gt;0),IF(100*F61/F64&lt;0.005,"*",100*F61/F64),0)</f>
        <v>*</v>
      </c>
    </row>
    <row r="62" spans="1:7" x14ac:dyDescent="0.2">
      <c r="A62" s="9" t="s">
        <v>150</v>
      </c>
      <c r="B62" s="45">
        <f>(275+2137+6316+604+4956+10081+2381+2007+8975+2837+3525+624+5170+0+0+10173+0+0+274+7283+97072+1677+2343+1930+242684+18176+22690+9992+2510+8242+14865+0+4213+4084+3834+0)/1000</f>
        <v>501.93</v>
      </c>
      <c r="C62" s="45">
        <f>(0+360+1071+0+37+0+0+0+0+0+0+0+0+0+0+0+0+0+0+0+0+0+0+0+779217+456+1886+326+63+0+25580+0+157+163+0+0)/1000</f>
        <v>809.31600000000003</v>
      </c>
      <c r="D62" s="45">
        <f>(302+1900+4786+663+6526+10146+2252+2099+8975+2837+3629+632+5219+0+0+10361+0+0+275+10948+80134+0+0+1961+0+17432+21216+9845+1598+6956+19011+0+5063+5265+4022+0)/1000</f>
        <v>244.053</v>
      </c>
      <c r="E62" s="45">
        <f t="shared" si="1"/>
        <v>1053.3690000000001</v>
      </c>
      <c r="F62" s="45">
        <f>(310+2338+6044+672+6998+10146+0+2268+8975+2562+3617+0+5219+0+0+10361+0+0+0+11528+43265+0+0+27+841841+17605+13628+0+1699+6966+33428+0+3427+4013+3789+0)/1000</f>
        <v>1040.7260000000001</v>
      </c>
      <c r="G62" s="33">
        <f>IF(AND(F64&lt;&gt;0,F62&lt;&gt;0),IF(100*F62/F64&lt;0.005,"*",100*F62/F64),0)</f>
        <v>0.15690899552206605</v>
      </c>
    </row>
    <row r="63" spans="1:7" x14ac:dyDescent="0.2">
      <c r="A63" s="9" t="s">
        <v>151</v>
      </c>
      <c r="B63" s="45">
        <f>(0+0+59661+0+0+110284+10228+40189+0+197477+48954+40095+300495+58340+0+260491+7700+90+0+0+0+0+0+2203+0+0+0+0+0+0+0+0+17540+11171+32094+0)/1000</f>
        <v>1197.0119999999999</v>
      </c>
      <c r="C63" s="45">
        <f>(0+0+10113+0+0+0+0+0+0+0+0+0+0+0+0+0+0+0+0+0+0+0+0+65980+0+0+0+0+0+0+0+0+1016+698+0+0)/1000</f>
        <v>77.807000000000002</v>
      </c>
      <c r="D63" s="45">
        <f>(0+0+45213+0+0+110984+10228+43000+0+198734+49786+41143+301870+58340+0+265291+7716+160+0+0+0+0+0+65000+0+0+0+0+0+0+0+0+32862+22567+33667+0)/1000</f>
        <v>1286.5609999999999</v>
      </c>
      <c r="E63" s="45">
        <f t="shared" si="1"/>
        <v>1364.3679999999999</v>
      </c>
      <c r="F63" s="45">
        <f>(0+0+57089+0+0+110984+0+44100+0+179453+50633+0+301870+64240+0+265291+7848+160+0+0+0+0+0+0+0+0+0+0+0+0+0+0+30000+20000+31714+0)/1000</f>
        <v>1163.3820000000001</v>
      </c>
      <c r="G63" s="33">
        <f>IF(AND(F64&lt;&gt;0,F63&lt;&gt;0),IF(100*F63/F64&lt;0.005,"*",100*F63/F64),0)</f>
        <v>0.17540169173101494</v>
      </c>
    </row>
    <row r="64" spans="1:7" ht="25.5" customHeight="1" x14ac:dyDescent="0.2">
      <c r="A64" s="40" t="s">
        <v>403</v>
      </c>
      <c r="B64" s="49">
        <f t="shared" ref="B64:G64" si="2">SUM(B5:B63)</f>
        <v>676694.6320000001</v>
      </c>
      <c r="C64" s="49">
        <f t="shared" si="2"/>
        <v>24863.738000000001</v>
      </c>
      <c r="D64" s="49">
        <f t="shared" si="2"/>
        <v>641582.59800000023</v>
      </c>
      <c r="E64" s="49">
        <f t="shared" si="2"/>
        <v>666446.33600000024</v>
      </c>
      <c r="F64" s="49">
        <f t="shared" si="2"/>
        <v>663267.26300000004</v>
      </c>
      <c r="G64" s="50">
        <f t="shared" si="2"/>
        <v>99.996263647946691</v>
      </c>
    </row>
    <row r="65" spans="1:7" ht="15" customHeight="1" x14ac:dyDescent="0.2">
      <c r="A65" s="39" t="s">
        <v>402</v>
      </c>
      <c r="B65" s="49" t="s">
        <v>81</v>
      </c>
      <c r="C65" s="49" t="s">
        <v>81</v>
      </c>
      <c r="D65" s="49" t="s">
        <v>81</v>
      </c>
      <c r="E65" s="49" t="s">
        <v>81</v>
      </c>
      <c r="F65" s="49" t="s">
        <v>81</v>
      </c>
      <c r="G65" s="49" t="s">
        <v>81</v>
      </c>
    </row>
    <row r="66" spans="1:7" ht="15" x14ac:dyDescent="0.2">
      <c r="A66" s="38" t="s">
        <v>401</v>
      </c>
      <c r="B66" s="45">
        <f>(269621+237799+14315+300595+639344+5000+10279+0+0+0+0+0+0+0+0+0+0+0+0+0+1450150+0+0+0+0+0+0+0+0+0+0+64357+0+0+0+21000+96818+2988+0+0+25823+1325+18994+14585+4000+393416+235974+92031+101767+31605+259487+266558+4388748+1850+9990+6389+847+3561+2000+3369+55+0)/1000</f>
        <v>8974.64</v>
      </c>
      <c r="C66" s="45">
        <f>(0+0+0+0+0+0+0+0+0+0+0+0+0+0+0+0+0+0+0+0+0+0+0+0+27861+237347+0+0+0+0+608861+38760+0+0+0+0+0+0+0+0+0+0+0+0+0+0+0+0+0+0+0+0+0+1870+10066+0+30+88+60+0+0+0)/1000</f>
        <v>924.94299999999998</v>
      </c>
      <c r="D66" s="45">
        <f>(0+0+0+0+0+5000+10279+0+0+0+0+0+0+0+0+0+0+0+0+465651+17024906+1312486+0+0+0+302000+0+0+0+0+7532744+29240+0+0+0+20000+97500+2988+0+0+26380+1500+26380+14585+14585+400668+246212+771546+109291+30279+308315+278000+4175681+0+0+0+970+2838+1940+0+0+0)/1000</f>
        <v>33211.964</v>
      </c>
      <c r="E66" s="45">
        <f>SUM(C66:D66)</f>
        <v>34136.906999999999</v>
      </c>
      <c r="F66" s="45">
        <f>(0+0+0+0+0+5000+0+0+0+0+0+0+0+0+0+0+0+0+0+0+24193184+1315005+0+0+1677500+319000+0+0+0+0+8115300+71000+0+0+0+10000+97500+0+0+0+26380+1500+26380+16060+16060+400668+243679+418519+105446+32362+286750+286000+4761408+1870+10066+0+1000+2158+2000+0+0+0)/1000</f>
        <v>42441.794999999998</v>
      </c>
      <c r="G66" s="33" t="s">
        <v>399</v>
      </c>
    </row>
    <row r="67" spans="1:7" ht="15" customHeight="1" x14ac:dyDescent="0.2">
      <c r="A67" s="48" t="s">
        <v>400</v>
      </c>
      <c r="B67" s="47">
        <f>SUM(B64:B66)</f>
        <v>685669.27200000011</v>
      </c>
      <c r="C67" s="47">
        <f>SUM(C64:C66)</f>
        <v>25788.681</v>
      </c>
      <c r="D67" s="47">
        <f>SUM(D64:D66)</f>
        <v>674794.56200000027</v>
      </c>
      <c r="E67" s="47">
        <f>SUM(E64:E66)</f>
        <v>700583.24300000025</v>
      </c>
      <c r="F67" s="47">
        <f>SUM(F64:F66)</f>
        <v>705709.05800000008</v>
      </c>
      <c r="G67" s="47" t="s">
        <v>399</v>
      </c>
    </row>
    <row r="68" spans="1:7" ht="15" customHeight="1" x14ac:dyDescent="0.2">
      <c r="A68" s="65" t="s">
        <v>154</v>
      </c>
      <c r="B68" s="65"/>
      <c r="C68" s="65"/>
      <c r="D68" s="65"/>
      <c r="E68" s="65"/>
      <c r="F68" s="65"/>
      <c r="G68" s="65"/>
    </row>
    <row r="69" spans="1:7" ht="15" customHeight="1" x14ac:dyDescent="0.2">
      <c r="A69" s="58" t="s">
        <v>398</v>
      </c>
      <c r="B69" s="58"/>
      <c r="C69" s="58"/>
      <c r="D69" s="58"/>
      <c r="E69" s="58"/>
      <c r="F69" s="58"/>
      <c r="G69" s="58"/>
    </row>
  </sheetData>
  <mergeCells count="6">
    <mergeCell ref="A69:G69"/>
    <mergeCell ref="A3:A5"/>
    <mergeCell ref="B3:B5"/>
    <mergeCell ref="G3:G5"/>
    <mergeCell ref="F4:F5"/>
    <mergeCell ref="A68:G6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82</v>
      </c>
      <c r="B1" s="8"/>
      <c r="C1" s="8"/>
      <c r="D1" s="8"/>
      <c r="E1" s="8"/>
      <c r="F1" s="8"/>
      <c r="G1" s="10" t="s">
        <v>83</v>
      </c>
    </row>
    <row r="2" spans="1:7" x14ac:dyDescent="0.2">
      <c r="A2" s="11" t="s">
        <v>84</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79596</v>
      </c>
      <c r="C6" s="15">
        <v>0</v>
      </c>
      <c r="D6" s="15">
        <v>87459</v>
      </c>
      <c r="E6" s="15">
        <v>87459</v>
      </c>
      <c r="F6" s="15">
        <v>89681</v>
      </c>
      <c r="G6" s="16">
        <f>IF(AND(F65&lt;&gt;0,89681&lt;&gt;0),IF(100*89681/(F65-0)&lt;0.005,"*",100*89681/(F65-0)),0)</f>
        <v>1.8193488678189216</v>
      </c>
    </row>
    <row r="7" spans="1:7" x14ac:dyDescent="0.2">
      <c r="A7" s="9" t="s">
        <v>95</v>
      </c>
      <c r="B7" s="15">
        <v>13011</v>
      </c>
      <c r="C7" s="15">
        <v>0</v>
      </c>
      <c r="D7" s="15">
        <v>14296</v>
      </c>
      <c r="E7" s="15">
        <v>14296</v>
      </c>
      <c r="F7" s="15">
        <v>14660</v>
      </c>
      <c r="G7" s="16">
        <f>IF(AND(F65&lt;&gt;0,14660&lt;&gt;0),IF(100*14660/(F65-0)&lt;0.005,"*",100*14660/(F65-0)),0)</f>
        <v>0.29740585410761911</v>
      </c>
    </row>
    <row r="8" spans="1:7" x14ac:dyDescent="0.2">
      <c r="A8" s="9" t="s">
        <v>96</v>
      </c>
      <c r="B8" s="15">
        <v>94391</v>
      </c>
      <c r="C8" s="15">
        <v>0</v>
      </c>
      <c r="D8" s="15">
        <v>103715</v>
      </c>
      <c r="E8" s="15">
        <v>103715</v>
      </c>
      <c r="F8" s="15">
        <v>106351</v>
      </c>
      <c r="G8" s="16">
        <f>IF(AND(F65&lt;&gt;0,106351&lt;&gt;0),IF(100*106351/(F65-0)&lt;0.005,"*",100*106351/(F65-0)),0)</f>
        <v>2.1575313772305185</v>
      </c>
    </row>
    <row r="9" spans="1:7" x14ac:dyDescent="0.2">
      <c r="A9" s="9" t="s">
        <v>97</v>
      </c>
      <c r="B9" s="15">
        <v>55905</v>
      </c>
      <c r="C9" s="15">
        <v>0</v>
      </c>
      <c r="D9" s="15">
        <v>61428</v>
      </c>
      <c r="E9" s="15">
        <v>61428</v>
      </c>
      <c r="F9" s="15">
        <v>62989</v>
      </c>
      <c r="G9" s="16">
        <f>IF(AND(F65&lt;&gt;0,62989&lt;&gt;0),IF(100*62989/(F65-0)&lt;0.005,"*",100*62989/(F65-0)),0)</f>
        <v>1.2778511148966454</v>
      </c>
    </row>
    <row r="10" spans="1:7" x14ac:dyDescent="0.2">
      <c r="A10" s="9" t="s">
        <v>98</v>
      </c>
      <c r="B10" s="15">
        <v>521342</v>
      </c>
      <c r="C10" s="15">
        <v>0</v>
      </c>
      <c r="D10" s="15">
        <v>572843</v>
      </c>
      <c r="E10" s="15">
        <v>572843</v>
      </c>
      <c r="F10" s="15">
        <v>587400</v>
      </c>
      <c r="G10" s="16">
        <f>IF(AND(F65&lt;&gt;0,587400&lt;&gt;0),IF(100*587400/(F65-0)&lt;0.005,"*",100*587400/(F65-0)),0)</f>
        <v>11.916521057490824</v>
      </c>
    </row>
    <row r="11" spans="1:7" x14ac:dyDescent="0.2">
      <c r="A11" s="9" t="s">
        <v>99</v>
      </c>
      <c r="B11" s="15">
        <v>48529</v>
      </c>
      <c r="C11" s="15">
        <v>0</v>
      </c>
      <c r="D11" s="15">
        <v>53323</v>
      </c>
      <c r="E11" s="15">
        <v>53323</v>
      </c>
      <c r="F11" s="15">
        <v>54678</v>
      </c>
      <c r="G11" s="16">
        <f>IF(AND(F65&lt;&gt;0,54678&lt;&gt;0),IF(100*54678/(F65-0)&lt;0.005,"*",100*54678/(F65-0)),0)</f>
        <v>1.1092467456273123</v>
      </c>
    </row>
    <row r="12" spans="1:7" x14ac:dyDescent="0.2">
      <c r="A12" s="9" t="s">
        <v>100</v>
      </c>
      <c r="B12" s="15">
        <v>32912</v>
      </c>
      <c r="C12" s="15">
        <v>0</v>
      </c>
      <c r="D12" s="15">
        <v>36163</v>
      </c>
      <c r="E12" s="15">
        <v>36163</v>
      </c>
      <c r="F12" s="15">
        <v>37082</v>
      </c>
      <c r="G12" s="16">
        <f>IF(AND(F65&lt;&gt;0,37082&lt;&gt;0),IF(100*37082/(F65-0)&lt;0.005,"*",100*37082/(F65-0)),0)</f>
        <v>0.75227857312542512</v>
      </c>
    </row>
    <row r="13" spans="1:7" x14ac:dyDescent="0.2">
      <c r="A13" s="9" t="s">
        <v>101</v>
      </c>
      <c r="B13" s="15">
        <v>13991</v>
      </c>
      <c r="C13" s="15">
        <v>0</v>
      </c>
      <c r="D13" s="15">
        <v>15373</v>
      </c>
      <c r="E13" s="15">
        <v>15373</v>
      </c>
      <c r="F13" s="15">
        <v>15764</v>
      </c>
      <c r="G13" s="16">
        <f>IF(AND(F65&lt;&gt;0,15764&lt;&gt;0),IF(100*15764/(F65-0)&lt;0.005,"*",100*15764/(F65-0)),0)</f>
        <v>0.31980258418502783</v>
      </c>
    </row>
    <row r="14" spans="1:7" x14ac:dyDescent="0.2">
      <c r="A14" s="9" t="s">
        <v>102</v>
      </c>
      <c r="B14" s="15">
        <v>11392</v>
      </c>
      <c r="C14" s="15">
        <v>0</v>
      </c>
      <c r="D14" s="15">
        <v>12517</v>
      </c>
      <c r="E14" s="15">
        <v>12517</v>
      </c>
      <c r="F14" s="15">
        <v>12835</v>
      </c>
      <c r="G14" s="16">
        <f>IF(AND(F65&lt;&gt;0,12835&lt;&gt;0),IF(100*12835/(F65-0)&lt;0.005,"*",100*12835/(F65-0)),0)</f>
        <v>0.26038227404306219</v>
      </c>
    </row>
    <row r="15" spans="1:7" x14ac:dyDescent="0.2">
      <c r="A15" s="9" t="s">
        <v>103</v>
      </c>
      <c r="B15" s="15">
        <v>280843</v>
      </c>
      <c r="C15" s="15">
        <v>0</v>
      </c>
      <c r="D15" s="15">
        <v>308586</v>
      </c>
      <c r="E15" s="15">
        <v>308586</v>
      </c>
      <c r="F15" s="15">
        <v>316428</v>
      </c>
      <c r="G15" s="16">
        <f>IF(AND(F65&lt;&gt;0,316428&lt;&gt;0),IF(100*316428/(F65-0)&lt;0.005,"*",100*316428/(F65-0)),0)</f>
        <v>6.4193410370781514</v>
      </c>
    </row>
    <row r="16" spans="1:7" x14ac:dyDescent="0.2">
      <c r="A16" s="9" t="s">
        <v>104</v>
      </c>
      <c r="B16" s="15">
        <v>195905</v>
      </c>
      <c r="C16" s="15">
        <v>0</v>
      </c>
      <c r="D16" s="15">
        <v>215258</v>
      </c>
      <c r="E16" s="15">
        <v>215258</v>
      </c>
      <c r="F16" s="15">
        <v>220728</v>
      </c>
      <c r="G16" s="16">
        <f>IF(AND(F65&lt;&gt;0,220728&lt;&gt;0),IF(100*220728/(F65-0)&lt;0.005,"*",100*220728/(F65-0)),0)</f>
        <v>4.4778853591723431</v>
      </c>
    </row>
    <row r="17" spans="1:7" x14ac:dyDescent="0.2">
      <c r="A17" s="9" t="s">
        <v>105</v>
      </c>
      <c r="B17" s="15">
        <v>11010</v>
      </c>
      <c r="C17" s="15">
        <v>0</v>
      </c>
      <c r="D17" s="15">
        <v>12098</v>
      </c>
      <c r="E17" s="15">
        <v>12098</v>
      </c>
      <c r="F17" s="15">
        <v>12405</v>
      </c>
      <c r="G17" s="16">
        <f>IF(AND(F65&lt;&gt;0,12405&lt;&gt;0),IF(100*12405/(F65-0)&lt;0.005,"*",100*12405/(F65-0)),0)</f>
        <v>0.25165890997305695</v>
      </c>
    </row>
    <row r="18" spans="1:7" x14ac:dyDescent="0.2">
      <c r="A18" s="9" t="s">
        <v>106</v>
      </c>
      <c r="B18" s="15">
        <v>18474</v>
      </c>
      <c r="C18" s="15">
        <v>0</v>
      </c>
      <c r="D18" s="15">
        <v>20299</v>
      </c>
      <c r="E18" s="15">
        <v>20299</v>
      </c>
      <c r="F18" s="15">
        <v>20815</v>
      </c>
      <c r="G18" s="16">
        <f>IF(AND(F65&lt;&gt;0,20815&lt;&gt;0),IF(100*20815/(F65-0)&lt;0.005,"*",100*20815/(F65-0)),0)</f>
        <v>0.42227168166780982</v>
      </c>
    </row>
    <row r="19" spans="1:7" x14ac:dyDescent="0.2">
      <c r="A19" s="9" t="s">
        <v>107</v>
      </c>
      <c r="B19" s="15">
        <v>144365</v>
      </c>
      <c r="C19" s="15">
        <v>0</v>
      </c>
      <c r="D19" s="15">
        <v>158626</v>
      </c>
      <c r="E19" s="15">
        <v>158626</v>
      </c>
      <c r="F19" s="15">
        <v>162657</v>
      </c>
      <c r="G19" s="16">
        <f>IF(AND(F65&lt;&gt;0,162657&lt;&gt;0),IF(100*162657/(F65-0)&lt;0.005,"*",100*162657/(F65-0)),0)</f>
        <v>3.2998051849647343</v>
      </c>
    </row>
    <row r="20" spans="1:7" x14ac:dyDescent="0.2">
      <c r="A20" s="9" t="s">
        <v>108</v>
      </c>
      <c r="B20" s="15">
        <v>79496</v>
      </c>
      <c r="C20" s="15">
        <v>0</v>
      </c>
      <c r="D20" s="15">
        <v>87349</v>
      </c>
      <c r="E20" s="15">
        <v>87349</v>
      </c>
      <c r="F20" s="15">
        <v>89569</v>
      </c>
      <c r="G20" s="16">
        <f>IF(AND(F65&lt;&gt;0,89569&lt;&gt;0),IF(100*89569/(F65-0)&lt;0.005,"*",100*89569/(F65-0)),0)</f>
        <v>1.817076735782083</v>
      </c>
    </row>
    <row r="21" spans="1:7" x14ac:dyDescent="0.2">
      <c r="A21" s="9" t="s">
        <v>109</v>
      </c>
      <c r="B21" s="15">
        <v>27594</v>
      </c>
      <c r="C21" s="15">
        <v>0</v>
      </c>
      <c r="D21" s="15">
        <v>30320</v>
      </c>
      <c r="E21" s="15">
        <v>30320</v>
      </c>
      <c r="F21" s="15">
        <v>31090</v>
      </c>
      <c r="G21" s="16">
        <f>IF(AND(F65&lt;&gt;0,31090&lt;&gt;0),IF(100*31090/(F65-0)&lt;0.005,"*",100*31090/(F65-0)),0)</f>
        <v>0.63071950915456199</v>
      </c>
    </row>
    <row r="22" spans="1:7" x14ac:dyDescent="0.2">
      <c r="A22" s="9" t="s">
        <v>110</v>
      </c>
      <c r="B22" s="15">
        <v>31836</v>
      </c>
      <c r="C22" s="15">
        <v>0</v>
      </c>
      <c r="D22" s="15">
        <v>34981</v>
      </c>
      <c r="E22" s="15">
        <v>34981</v>
      </c>
      <c r="F22" s="15">
        <v>35870</v>
      </c>
      <c r="G22" s="16">
        <f>IF(AND(F65&lt;&gt;0,35870&lt;&gt;0),IF(100*35870/(F65-0)&lt;0.005,"*",100*35870/(F65-0)),0)</f>
        <v>0.72769085858392213</v>
      </c>
    </row>
    <row r="23" spans="1:7" x14ac:dyDescent="0.2">
      <c r="A23" s="9" t="s">
        <v>111</v>
      </c>
      <c r="B23" s="15">
        <v>95395</v>
      </c>
      <c r="C23" s="15">
        <v>0</v>
      </c>
      <c r="D23" s="15">
        <v>104819</v>
      </c>
      <c r="E23" s="15">
        <v>104819</v>
      </c>
      <c r="F23" s="15">
        <v>107482</v>
      </c>
      <c r="G23" s="16">
        <f>IF(AND(F65&lt;&gt;0,107482&lt;&gt;0),IF(100*107482/(F65-0)&lt;0.005,"*",100*107482/(F65-0)),0)</f>
        <v>2.180475853423951</v>
      </c>
    </row>
    <row r="24" spans="1:7" x14ac:dyDescent="0.2">
      <c r="A24" s="9" t="s">
        <v>112</v>
      </c>
      <c r="B24" s="15">
        <v>88024</v>
      </c>
      <c r="C24" s="15">
        <v>0</v>
      </c>
      <c r="D24" s="15">
        <v>96720</v>
      </c>
      <c r="E24" s="15">
        <v>96720</v>
      </c>
      <c r="F24" s="15">
        <v>99177</v>
      </c>
      <c r="G24" s="16">
        <f>IF(AND(F65&lt;&gt;0,99177&lt;&gt;0),IF(100*99177/(F65-0)&lt;0.005,"*",100*99177/(F65-0)),0)</f>
        <v>2.011993205513734</v>
      </c>
    </row>
    <row r="25" spans="1:7" x14ac:dyDescent="0.2">
      <c r="A25" s="9" t="s">
        <v>113</v>
      </c>
      <c r="B25" s="15">
        <v>12758</v>
      </c>
      <c r="C25" s="15">
        <v>0</v>
      </c>
      <c r="D25" s="15">
        <v>14018</v>
      </c>
      <c r="E25" s="15">
        <v>14018</v>
      </c>
      <c r="F25" s="15">
        <v>14375</v>
      </c>
      <c r="G25" s="16">
        <f>IF(AND(F65&lt;&gt;0,14375&lt;&gt;0),IF(100*14375/(F65-0)&lt;0.005,"*",100*14375/(F65-0)),0)</f>
        <v>0.2916240895495924</v>
      </c>
    </row>
    <row r="26" spans="1:7" x14ac:dyDescent="0.2">
      <c r="A26" s="9" t="s">
        <v>114</v>
      </c>
      <c r="B26" s="15">
        <v>69430</v>
      </c>
      <c r="C26" s="15">
        <v>0</v>
      </c>
      <c r="D26" s="15">
        <v>76289</v>
      </c>
      <c r="E26" s="15">
        <v>76289</v>
      </c>
      <c r="F26" s="15">
        <v>78227</v>
      </c>
      <c r="G26" s="16">
        <f>IF(AND(F65&lt;&gt;0,78227&lt;&gt;0),IF(100*78227/(F65-0)&lt;0.005,"*",100*78227/(F65-0)),0)</f>
        <v>1.5869827932658065</v>
      </c>
    </row>
    <row r="27" spans="1:7" x14ac:dyDescent="0.2">
      <c r="A27" s="9" t="s">
        <v>115</v>
      </c>
      <c r="B27" s="15">
        <v>66007</v>
      </c>
      <c r="C27" s="15">
        <v>0</v>
      </c>
      <c r="D27" s="15">
        <v>72528</v>
      </c>
      <c r="E27" s="15">
        <v>72528</v>
      </c>
      <c r="F27" s="15">
        <v>74371</v>
      </c>
      <c r="G27" s="16">
        <f>IF(AND(F65&lt;&gt;0,74371&lt;&gt;0),IF(100*74371/(F65-0)&lt;0.005,"*",100*74371/(F65-0)),0)</f>
        <v>1.5087565331403645</v>
      </c>
    </row>
    <row r="28" spans="1:7" x14ac:dyDescent="0.2">
      <c r="A28" s="9" t="s">
        <v>116</v>
      </c>
      <c r="B28" s="15">
        <v>114397</v>
      </c>
      <c r="C28" s="15">
        <v>0</v>
      </c>
      <c r="D28" s="15">
        <v>125698</v>
      </c>
      <c r="E28" s="15">
        <v>125698</v>
      </c>
      <c r="F28" s="15">
        <v>128892</v>
      </c>
      <c r="G28" s="16">
        <f>IF(AND(F65&lt;&gt;0,128892&lt;&gt;0),IF(100*128892/(F65-0)&lt;0.005,"*",100*128892/(F65-0)),0)</f>
        <v>2.6148182365374657</v>
      </c>
    </row>
    <row r="29" spans="1:7" x14ac:dyDescent="0.2">
      <c r="A29" s="9" t="s">
        <v>117</v>
      </c>
      <c r="B29" s="15">
        <v>54008</v>
      </c>
      <c r="C29" s="15">
        <v>0</v>
      </c>
      <c r="D29" s="15">
        <v>59343</v>
      </c>
      <c r="E29" s="15">
        <v>59343</v>
      </c>
      <c r="F29" s="15">
        <v>60851</v>
      </c>
      <c r="G29" s="16">
        <f>IF(AND(F65&lt;&gt;0,60851&lt;&gt;0),IF(100*60851/(F65-0)&lt;0.005,"*",100*60851/(F65-0)),0)</f>
        <v>1.2344777372648521</v>
      </c>
    </row>
    <row r="30" spans="1:7" x14ac:dyDescent="0.2">
      <c r="A30" s="9" t="s">
        <v>118</v>
      </c>
      <c r="B30" s="15">
        <v>63824</v>
      </c>
      <c r="C30" s="15">
        <v>0</v>
      </c>
      <c r="D30" s="15">
        <v>70129</v>
      </c>
      <c r="E30" s="15">
        <v>70129</v>
      </c>
      <c r="F30" s="15">
        <v>71911</v>
      </c>
      <c r="G30" s="16">
        <f>IF(AND(F65&lt;&gt;0,71911&lt;&gt;0),IF(100*71911/(F65-0)&lt;0.005,"*",100*71911/(F65-0)),0)</f>
        <v>1.4588507759026603</v>
      </c>
    </row>
    <row r="31" spans="1:7" x14ac:dyDescent="0.2">
      <c r="A31" s="9" t="s">
        <v>119</v>
      </c>
      <c r="B31" s="15">
        <v>78632</v>
      </c>
      <c r="C31" s="15">
        <v>0</v>
      </c>
      <c r="D31" s="15">
        <v>86400</v>
      </c>
      <c r="E31" s="15">
        <v>86400</v>
      </c>
      <c r="F31" s="15">
        <v>88595</v>
      </c>
      <c r="G31" s="16">
        <f>IF(AND(F65&lt;&gt;0,88595&lt;&gt;0),IF(100*88595/(F65-0)&lt;0.005,"*",100*88595/(F65-0)),0)</f>
        <v>1.797317301818862</v>
      </c>
    </row>
    <row r="32" spans="1:7" x14ac:dyDescent="0.2">
      <c r="A32" s="9" t="s">
        <v>120</v>
      </c>
      <c r="B32" s="15">
        <v>10388</v>
      </c>
      <c r="C32" s="15">
        <v>0</v>
      </c>
      <c r="D32" s="15">
        <v>11414</v>
      </c>
      <c r="E32" s="15">
        <v>11414</v>
      </c>
      <c r="F32" s="15">
        <v>11704</v>
      </c>
      <c r="G32" s="16">
        <f>IF(AND(F65&lt;&gt;0,11704&lt;&gt;0),IF(100*11704/(F65-0)&lt;0.005,"*",100*11704/(F65-0)),0)</f>
        <v>0.2374377978496299</v>
      </c>
    </row>
    <row r="33" spans="1:7" x14ac:dyDescent="0.2">
      <c r="A33" s="9" t="s">
        <v>121</v>
      </c>
      <c r="B33" s="15">
        <v>19837</v>
      </c>
      <c r="C33" s="15">
        <v>0</v>
      </c>
      <c r="D33" s="15">
        <v>21797</v>
      </c>
      <c r="E33" s="15">
        <v>21797</v>
      </c>
      <c r="F33" s="15">
        <v>22350</v>
      </c>
      <c r="G33" s="16">
        <f>IF(AND(F65&lt;&gt;0,22350&lt;&gt;0),IF(100*22350/(F65-0)&lt;0.005,"*",100*22350/(F65-0)),0)</f>
        <v>0.45341206270840978</v>
      </c>
    </row>
    <row r="34" spans="1:7" x14ac:dyDescent="0.2">
      <c r="A34" s="9" t="s">
        <v>122</v>
      </c>
      <c r="B34" s="15">
        <v>40307</v>
      </c>
      <c r="C34" s="15">
        <v>0</v>
      </c>
      <c r="D34" s="15">
        <v>44289</v>
      </c>
      <c r="E34" s="15">
        <v>44289</v>
      </c>
      <c r="F34" s="15">
        <v>45414</v>
      </c>
      <c r="G34" s="16">
        <f>IF(AND(F65&lt;&gt;0,45414&lt;&gt;0),IF(100*45414/(F65-0)&lt;0.005,"*",100*45414/(F65-0)),0)</f>
        <v>0.92130896715166544</v>
      </c>
    </row>
    <row r="35" spans="1:7" x14ac:dyDescent="0.2">
      <c r="A35" s="9" t="s">
        <v>123</v>
      </c>
      <c r="B35" s="15">
        <v>5376</v>
      </c>
      <c r="C35" s="15">
        <v>0</v>
      </c>
      <c r="D35" s="15">
        <v>5907</v>
      </c>
      <c r="E35" s="15">
        <v>5907</v>
      </c>
      <c r="F35" s="15">
        <v>6057</v>
      </c>
      <c r="G35" s="16">
        <f>IF(AND(F65&lt;&gt;0,6057&lt;&gt;0),IF(100*6057/(F65-0)&lt;0.005,"*",100*6057/(F65-0)),0)</f>
        <v>0.12287771202795696</v>
      </c>
    </row>
    <row r="36" spans="1:7" x14ac:dyDescent="0.2">
      <c r="A36" s="9" t="s">
        <v>124</v>
      </c>
      <c r="B36" s="15">
        <v>94985</v>
      </c>
      <c r="C36" s="15">
        <v>0</v>
      </c>
      <c r="D36" s="15">
        <v>104368</v>
      </c>
      <c r="E36" s="15">
        <v>104368</v>
      </c>
      <c r="F36" s="15">
        <v>107020</v>
      </c>
      <c r="G36" s="16">
        <f>IF(AND(F65&lt;&gt;0,107020&lt;&gt;0),IF(100*107020/(F65-0)&lt;0.005,"*",100*107020/(F65-0)),0)</f>
        <v>2.1711033087719915</v>
      </c>
    </row>
    <row r="37" spans="1:7" x14ac:dyDescent="0.2">
      <c r="A37" s="9" t="s">
        <v>125</v>
      </c>
      <c r="B37" s="15">
        <v>43957</v>
      </c>
      <c r="C37" s="15">
        <v>0</v>
      </c>
      <c r="D37" s="15">
        <v>48299</v>
      </c>
      <c r="E37" s="15">
        <v>48299</v>
      </c>
      <c r="F37" s="15">
        <v>49527</v>
      </c>
      <c r="G37" s="16">
        <f>IF(AND(F65&lt;&gt;0,49527&lt;&gt;0),IF(100*49527/(F65-0)&lt;0.005,"*",100*49527/(F65-0)),0)</f>
        <v>1.0047489588259244</v>
      </c>
    </row>
    <row r="38" spans="1:7" x14ac:dyDescent="0.2">
      <c r="A38" s="9" t="s">
        <v>126</v>
      </c>
      <c r="B38" s="15">
        <v>255941</v>
      </c>
      <c r="C38" s="15">
        <v>0</v>
      </c>
      <c r="D38" s="15">
        <v>281224</v>
      </c>
      <c r="E38" s="15">
        <v>281224</v>
      </c>
      <c r="F38" s="15">
        <v>288371</v>
      </c>
      <c r="G38" s="16">
        <f>IF(AND(F65&lt;&gt;0,288371&lt;&gt;0),IF(100*288371/(F65-0)&lt;0.005,"*",100*288371/(F65-0)),0)</f>
        <v>5.8501516749569058</v>
      </c>
    </row>
    <row r="39" spans="1:7" x14ac:dyDescent="0.2">
      <c r="A39" s="9" t="s">
        <v>127</v>
      </c>
      <c r="B39" s="15">
        <v>134750</v>
      </c>
      <c r="C39" s="15">
        <v>0</v>
      </c>
      <c r="D39" s="15">
        <v>148061</v>
      </c>
      <c r="E39" s="15">
        <v>148061</v>
      </c>
      <c r="F39" s="15">
        <v>151824</v>
      </c>
      <c r="G39" s="16">
        <f>IF(AND(F65&lt;&gt;0,151824&lt;&gt;0),IF(100*151824/(F65-0)&lt;0.005,"*",100*151824/(F65-0)),0)</f>
        <v>3.0800372710801613</v>
      </c>
    </row>
    <row r="40" spans="1:7" x14ac:dyDescent="0.2">
      <c r="A40" s="9" t="s">
        <v>128</v>
      </c>
      <c r="B40" s="15">
        <v>6011</v>
      </c>
      <c r="C40" s="15">
        <v>0</v>
      </c>
      <c r="D40" s="15">
        <v>6605</v>
      </c>
      <c r="E40" s="15">
        <v>6605</v>
      </c>
      <c r="F40" s="15">
        <v>6773</v>
      </c>
      <c r="G40" s="16">
        <f>IF(AND(F65&lt;&gt;0,6773&lt;&gt;0),IF(100*6773/(F65-0)&lt;0.005,"*",100*6773/(F65-0)),0)</f>
        <v>0.13740312754917491</v>
      </c>
    </row>
    <row r="41" spans="1:7" x14ac:dyDescent="0.2">
      <c r="A41" s="9" t="s">
        <v>129</v>
      </c>
      <c r="B41" s="15">
        <v>123094</v>
      </c>
      <c r="C41" s="15">
        <v>0</v>
      </c>
      <c r="D41" s="15">
        <v>135254</v>
      </c>
      <c r="E41" s="15">
        <v>135254</v>
      </c>
      <c r="F41" s="15">
        <v>138691</v>
      </c>
      <c r="G41" s="16">
        <f>IF(AND(F65&lt;&gt;0,138691&lt;&gt;0),IF(100*138691/(F65-0)&lt;0.005,"*",100*138691/(F65-0)),0)</f>
        <v>2.8136095028676538</v>
      </c>
    </row>
    <row r="42" spans="1:7" x14ac:dyDescent="0.2">
      <c r="A42" s="9" t="s">
        <v>130</v>
      </c>
      <c r="B42" s="15">
        <v>59208</v>
      </c>
      <c r="C42" s="15">
        <v>0</v>
      </c>
      <c r="D42" s="15">
        <v>65057</v>
      </c>
      <c r="E42" s="15">
        <v>65057</v>
      </c>
      <c r="F42" s="15">
        <v>66710</v>
      </c>
      <c r="G42" s="16">
        <f>IF(AND(F65&lt;&gt;0,66710&lt;&gt;0),IF(100*66710/(F65-0)&lt;0.005,"*",100*66710/(F65-0)),0)</f>
        <v>1.3533386444419695</v>
      </c>
    </row>
    <row r="43" spans="1:7" x14ac:dyDescent="0.2">
      <c r="A43" s="9" t="s">
        <v>131</v>
      </c>
      <c r="B43" s="15">
        <v>39776</v>
      </c>
      <c r="C43" s="15">
        <v>0</v>
      </c>
      <c r="D43" s="15">
        <v>43705</v>
      </c>
      <c r="E43" s="15">
        <v>43705</v>
      </c>
      <c r="F43" s="15">
        <v>44816</v>
      </c>
      <c r="G43" s="16">
        <f>IF(AND(F65&lt;&gt;0,44816&lt;&gt;0),IF(100*44816/(F65-0)&lt;0.005,"*",100*44816/(F65-0)),0)</f>
        <v>0.90917740502640243</v>
      </c>
    </row>
    <row r="44" spans="1:7" x14ac:dyDescent="0.2">
      <c r="A44" s="9" t="s">
        <v>132</v>
      </c>
      <c r="B44" s="15">
        <v>124176</v>
      </c>
      <c r="C44" s="15">
        <v>0</v>
      </c>
      <c r="D44" s="15">
        <v>136443</v>
      </c>
      <c r="E44" s="15">
        <v>136443</v>
      </c>
      <c r="F44" s="15">
        <v>139910</v>
      </c>
      <c r="G44" s="16">
        <f>IF(AND(F65&lt;&gt;0,139910&lt;&gt;0),IF(100*139910/(F65-0)&lt;0.005,"*",100*139910/(F65-0)),0)</f>
        <v>2.8383392256614592</v>
      </c>
    </row>
    <row r="45" spans="1:7" x14ac:dyDescent="0.2">
      <c r="A45" s="9" t="s">
        <v>133</v>
      </c>
      <c r="B45" s="15">
        <v>10062</v>
      </c>
      <c r="C45" s="15">
        <v>0</v>
      </c>
      <c r="D45" s="15">
        <v>11056</v>
      </c>
      <c r="E45" s="15">
        <v>11056</v>
      </c>
      <c r="F45" s="15">
        <v>11337</v>
      </c>
      <c r="G45" s="16">
        <f>IF(AND(F65&lt;&gt;0,11337&lt;&gt;0),IF(100*11337/(F65-0)&lt;0.005,"*",100*11337/(F65-0)),0)</f>
        <v>0.22999250805034638</v>
      </c>
    </row>
    <row r="46" spans="1:7" x14ac:dyDescent="0.2">
      <c r="A46" s="9" t="s">
        <v>134</v>
      </c>
      <c r="B46" s="15">
        <v>81130</v>
      </c>
      <c r="C46" s="15">
        <v>0</v>
      </c>
      <c r="D46" s="15">
        <v>89144</v>
      </c>
      <c r="E46" s="15">
        <v>89144</v>
      </c>
      <c r="F46" s="15">
        <v>91410</v>
      </c>
      <c r="G46" s="16">
        <f>IF(AND(F65&lt;&gt;0,91410&lt;&gt;0),IF(100*91410/(F65-0)&lt;0.005,"*",100*91410/(F65-0)),0)</f>
        <v>1.854424906137617</v>
      </c>
    </row>
    <row r="47" spans="1:7" x14ac:dyDescent="0.2">
      <c r="A47" s="9" t="s">
        <v>135</v>
      </c>
      <c r="B47" s="15">
        <v>7561</v>
      </c>
      <c r="C47" s="15">
        <v>0</v>
      </c>
      <c r="D47" s="15">
        <v>8308</v>
      </c>
      <c r="E47" s="15">
        <v>8308</v>
      </c>
      <c r="F47" s="15">
        <v>8519</v>
      </c>
      <c r="G47" s="16">
        <f>IF(AND(F65&lt;&gt;0,8519&lt;&gt;0),IF(100*8519/(F65-0)&lt;0.005,"*",100*8519/(F65-0)),0)</f>
        <v>0.17282404305203325</v>
      </c>
    </row>
    <row r="48" spans="1:7" x14ac:dyDescent="0.2">
      <c r="A48" s="9" t="s">
        <v>136</v>
      </c>
      <c r="B48" s="15">
        <v>113752</v>
      </c>
      <c r="C48" s="15">
        <v>0</v>
      </c>
      <c r="D48" s="15">
        <v>124989</v>
      </c>
      <c r="E48" s="15">
        <v>124989</v>
      </c>
      <c r="F48" s="15">
        <v>128165</v>
      </c>
      <c r="G48" s="16">
        <f>IF(AND(F65&lt;&gt;0,128165&lt;&gt;0),IF(100*128165/(F65-0)&lt;0.005,"*",100*128165/(F65-0)),0)</f>
        <v>2.6000696651912008</v>
      </c>
    </row>
    <row r="49" spans="1:7" x14ac:dyDescent="0.2">
      <c r="A49" s="9" t="s">
        <v>137</v>
      </c>
      <c r="B49" s="15">
        <v>593791</v>
      </c>
      <c r="C49" s="15">
        <v>0</v>
      </c>
      <c r="D49" s="15">
        <v>652449</v>
      </c>
      <c r="E49" s="15">
        <v>652449</v>
      </c>
      <c r="F49" s="15">
        <v>669029</v>
      </c>
      <c r="G49" s="16">
        <f>IF(AND(F65&lt;&gt;0,669029&lt;&gt;0),IF(100*669029/(F65-0)&lt;0.005,"*",100*669029/(F65-0)),0)</f>
        <v>13.572519861375602</v>
      </c>
    </row>
    <row r="50" spans="1:7" x14ac:dyDescent="0.2">
      <c r="A50" s="9" t="s">
        <v>138</v>
      </c>
      <c r="B50" s="15">
        <v>22793</v>
      </c>
      <c r="C50" s="15">
        <v>0</v>
      </c>
      <c r="D50" s="15">
        <v>25045</v>
      </c>
      <c r="E50" s="15">
        <v>25045</v>
      </c>
      <c r="F50" s="15">
        <v>25681</v>
      </c>
      <c r="G50" s="16">
        <f>IF(AND(F65&lt;&gt;0,25681&lt;&gt;0),IF(100*25681/(F65-0)&lt;0.005,"*",100*25681/(F65-0)),0)</f>
        <v>0.520987703911171</v>
      </c>
    </row>
    <row r="51" spans="1:7" x14ac:dyDescent="0.2">
      <c r="A51" s="9" t="s">
        <v>139</v>
      </c>
      <c r="B51" s="15">
        <v>6622</v>
      </c>
      <c r="C51" s="15">
        <v>0</v>
      </c>
      <c r="D51" s="15">
        <v>7276</v>
      </c>
      <c r="E51" s="15">
        <v>7276</v>
      </c>
      <c r="F51" s="15">
        <v>7461</v>
      </c>
      <c r="G51" s="16">
        <f>IF(AND(F65&lt;&gt;0,7461&lt;&gt;0),IF(100*7461/(F65-0)&lt;0.005,"*",100*7461/(F65-0)),0)</f>
        <v>0.15136051006118323</v>
      </c>
    </row>
    <row r="52" spans="1:7" x14ac:dyDescent="0.2">
      <c r="A52" s="9" t="s">
        <v>140</v>
      </c>
      <c r="B52" s="15">
        <v>91222</v>
      </c>
      <c r="C52" s="15">
        <v>0</v>
      </c>
      <c r="D52" s="15">
        <v>100233</v>
      </c>
      <c r="E52" s="15">
        <v>100233</v>
      </c>
      <c r="F52" s="15">
        <v>102781</v>
      </c>
      <c r="G52" s="16">
        <f>IF(AND(F65&lt;&gt;0,102781&lt;&gt;0),IF(100*102781/(F65-0)&lt;0.005,"*",100*102781/(F65-0)),0)</f>
        <v>2.0851071685562892</v>
      </c>
    </row>
    <row r="53" spans="1:7" x14ac:dyDescent="0.2">
      <c r="A53" s="9" t="s">
        <v>141</v>
      </c>
      <c r="B53" s="15">
        <v>57404</v>
      </c>
      <c r="C53" s="15">
        <v>0</v>
      </c>
      <c r="D53" s="15">
        <v>63075</v>
      </c>
      <c r="E53" s="15">
        <v>63075</v>
      </c>
      <c r="F53" s="15">
        <v>64678</v>
      </c>
      <c r="G53" s="16">
        <f>IF(AND(F65&lt;&gt;0,64678&lt;&gt;0),IF(100*64678/(F65-0)&lt;0.005,"*",100*64678/(F65-0)),0)</f>
        <v>1.3121156774878984</v>
      </c>
    </row>
    <row r="54" spans="1:7" x14ac:dyDescent="0.2">
      <c r="A54" s="9" t="s">
        <v>142</v>
      </c>
      <c r="B54" s="15">
        <v>42428</v>
      </c>
      <c r="C54" s="15">
        <v>0</v>
      </c>
      <c r="D54" s="15">
        <v>46619</v>
      </c>
      <c r="E54" s="15">
        <v>46619</v>
      </c>
      <c r="F54" s="15">
        <v>47804</v>
      </c>
      <c r="G54" s="16">
        <f>IF(AND(F65&lt;&gt;0,47804&lt;&gt;0),IF(100*47804/(F65-0)&lt;0.005,"*",100*47804/(F65-0)),0)</f>
        <v>0.96979464186634545</v>
      </c>
    </row>
    <row r="55" spans="1:7" x14ac:dyDescent="0.2">
      <c r="A55" s="9" t="s">
        <v>143</v>
      </c>
      <c r="B55" s="15">
        <v>53683</v>
      </c>
      <c r="C55" s="15">
        <v>0</v>
      </c>
      <c r="D55" s="15">
        <v>58986</v>
      </c>
      <c r="E55" s="15">
        <v>58986</v>
      </c>
      <c r="F55" s="15">
        <v>60485</v>
      </c>
      <c r="G55" s="16">
        <f>IF(AND(F65&lt;&gt;0,60485&lt;&gt;0),IF(100*60485/(F65-0)&lt;0.005,"*",100*60485/(F65-0)),0)</f>
        <v>1.2270527343587547</v>
      </c>
    </row>
    <row r="56" spans="1:7" x14ac:dyDescent="0.2">
      <c r="A56" s="9" t="s">
        <v>144</v>
      </c>
      <c r="B56" s="15">
        <v>4155</v>
      </c>
      <c r="C56" s="15">
        <v>0</v>
      </c>
      <c r="D56" s="15">
        <v>4565</v>
      </c>
      <c r="E56" s="15">
        <v>4565</v>
      </c>
      <c r="F56" s="15">
        <v>4681</v>
      </c>
      <c r="G56" s="16">
        <f>IF(AND(F65&lt;&gt;0,4681&lt;&gt;0),IF(100*4681/(F65-0)&lt;0.005,"*",100*4681/(F65-0)),0)</f>
        <v>9.4962947003940326E-2</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3258</v>
      </c>
      <c r="C58" s="15">
        <v>0</v>
      </c>
      <c r="D58" s="15">
        <v>3580</v>
      </c>
      <c r="E58" s="15">
        <v>3580</v>
      </c>
      <c r="F58" s="15">
        <v>3671</v>
      </c>
      <c r="G58" s="16">
        <f>IF(AND(F65&lt;&gt;0,3671&lt;&gt;0),IF(100*3671/(F65-0)&lt;0.005,"*",100*3671/(F65-0)),0)</f>
        <v>7.4473184886021129E-2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25942</v>
      </c>
      <c r="C60" s="15">
        <v>0</v>
      </c>
      <c r="D60" s="15">
        <v>28505</v>
      </c>
      <c r="E60" s="15">
        <v>28505</v>
      </c>
      <c r="F60" s="15">
        <v>29229</v>
      </c>
      <c r="G60" s="16">
        <f>IF(AND(F65&lt;&gt;0,29229&lt;&gt;0),IF(100*29229/(F65-0)&lt;0.005,"*",100*29229/(F65-0)),0)</f>
        <v>0.59296560093530692</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275</v>
      </c>
      <c r="C62" s="15">
        <v>0</v>
      </c>
      <c r="D62" s="15">
        <v>302</v>
      </c>
      <c r="E62" s="15">
        <v>302</v>
      </c>
      <c r="F62" s="15">
        <v>310</v>
      </c>
      <c r="G62" s="16">
        <f>IF(AND(F65&lt;&gt;0,310&lt;&gt;0),IF(100*310/(F65-0)&lt;0.005,"*",100*310/(F65-0)),0)</f>
        <v>6.2889368876781673E-3</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269621</v>
      </c>
      <c r="C64" s="15">
        <v>0</v>
      </c>
      <c r="D64" s="15">
        <v>0</v>
      </c>
      <c r="E64" s="15">
        <v>0</v>
      </c>
      <c r="F64" s="15">
        <v>0</v>
      </c>
      <c r="G64" s="16">
        <v>0</v>
      </c>
    </row>
    <row r="65" spans="1:7" ht="15" customHeight="1" x14ac:dyDescent="0.2">
      <c r="A65" s="17" t="s">
        <v>93</v>
      </c>
      <c r="B65" s="18">
        <f>79596+13011+94391+55905+521342+48529+32912+13991+11392+280843+195905+11010+18474+144365+79496+27594+31836+95395+88024+12758+69430+66007+114397+54008+63824+78632+10388+19837+40307+5376+94985+43957+255941+134750+6011+123094+59208+39776+124176+10062+81130+7561+113752+593791+22793+6622+91222+57404+42428+53683+4155+0+3258+0+25942+0+275+0+269621+0</f>
        <v>4644572</v>
      </c>
      <c r="C65" s="18">
        <f>0+0+0+0+0+0+0+0+0+0+0+0+0+0+0+0+0+0+0+0+0+0+0+0+0+0+0+0+0+0+0+0+0+0+0+0+0+0+0+0+0+0+0+0+0+0+0+0+0+0+0+0+0+0+0+0+0+0+0+0</f>
        <v>0</v>
      </c>
      <c r="D65" s="18">
        <f>87459+14296+103715+61428+572843+53323+36163+15373+12517+308586+215258+12098+20299+158626+87349+30320+34981+104819+96720+14018+76289+72528+125698+59343+70129+86400+11414+21797+44289+5907+104368+48299+281224+148061+6605+135254+65057+43705+136443+11056+89144+8308+124989+652449+25045+7276+100233+63075+46619+58986+4565+0+3580+0+28505+0+302+0+0+0</f>
        <v>4807133</v>
      </c>
      <c r="E65" s="18">
        <f>SUM(C65:D65)</f>
        <v>4807133</v>
      </c>
      <c r="F65" s="18">
        <f>89681+14660+106351+62989+587400+54678+37082+15764+12835+316428+220728+12405+20815+162657+89569+31090+35870+107482+99177+14375+78227+74371+128892+60851+71911+88595+11704+22350+45414+6057+107020+49527+288371+151824+6773+138691+66710+44816+139910+11337+91410+8519+128165+669029+25681+7461+102781+64678+47804+60485+4681+0+3671+0+29229+0+310+0+0+0</f>
        <v>4929291</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82</v>
      </c>
      <c r="B1" s="8"/>
      <c r="C1" s="8"/>
      <c r="D1" s="8"/>
      <c r="E1" s="8"/>
      <c r="F1" s="8"/>
      <c r="G1" s="10" t="s">
        <v>83</v>
      </c>
    </row>
    <row r="2" spans="1:7" x14ac:dyDescent="0.2">
      <c r="A2" s="11" t="s">
        <v>156</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214168</v>
      </c>
      <c r="C6" s="15">
        <v>36117</v>
      </c>
      <c r="D6" s="15">
        <v>190399</v>
      </c>
      <c r="E6" s="15">
        <v>226516</v>
      </c>
      <c r="F6" s="15">
        <v>234320</v>
      </c>
      <c r="G6" s="16">
        <f>IF(AND(F65&lt;&gt;0,234320&lt;&gt;0),IF(100*234320/(F65-0)&lt;0.005,"*",100*234320/(F65-0)),0)</f>
        <v>1.7102096714721671</v>
      </c>
    </row>
    <row r="7" spans="1:7" x14ac:dyDescent="0.2">
      <c r="A7" s="9" t="s">
        <v>95</v>
      </c>
      <c r="B7" s="15">
        <v>37883</v>
      </c>
      <c r="C7" s="15">
        <v>6388</v>
      </c>
      <c r="D7" s="15">
        <v>33679</v>
      </c>
      <c r="E7" s="15">
        <v>40067</v>
      </c>
      <c r="F7" s="15">
        <v>41448</v>
      </c>
      <c r="G7" s="16">
        <f>IF(AND(F65&lt;&gt;0,41448&lt;&gt;0),IF(100*41448/(F65-0)&lt;0.005,"*",100*41448/(F65-0)),0)</f>
        <v>0.30251267695108564</v>
      </c>
    </row>
    <row r="8" spans="1:7" x14ac:dyDescent="0.2">
      <c r="A8" s="9" t="s">
        <v>96</v>
      </c>
      <c r="B8" s="15">
        <v>275636</v>
      </c>
      <c r="C8" s="15">
        <v>46483</v>
      </c>
      <c r="D8" s="15">
        <v>245045</v>
      </c>
      <c r="E8" s="15">
        <v>291528</v>
      </c>
      <c r="F8" s="15">
        <v>301572</v>
      </c>
      <c r="G8" s="16">
        <f>IF(AND(F65&lt;&gt;0,301572&lt;&gt;0),IF(100*301572/(F65-0)&lt;0.005,"*",100*301572/(F65-0)),0)</f>
        <v>2.2010556121765292</v>
      </c>
    </row>
    <row r="9" spans="1:7" x14ac:dyDescent="0.2">
      <c r="A9" s="9" t="s">
        <v>97</v>
      </c>
      <c r="B9" s="15">
        <v>136776</v>
      </c>
      <c r="C9" s="15">
        <v>23066</v>
      </c>
      <c r="D9" s="15">
        <v>121596</v>
      </c>
      <c r="E9" s="15">
        <v>144662</v>
      </c>
      <c r="F9" s="15">
        <v>149646</v>
      </c>
      <c r="G9" s="16">
        <f>IF(AND(F65&lt;&gt;0,149646&lt;&gt;0),IF(100*149646/(F65-0)&lt;0.005,"*",100*149646/(F65-0)),0)</f>
        <v>1.092207393722789</v>
      </c>
    </row>
    <row r="10" spans="1:7" x14ac:dyDescent="0.2">
      <c r="A10" s="9" t="s">
        <v>98</v>
      </c>
      <c r="B10" s="15">
        <v>1511045</v>
      </c>
      <c r="C10" s="15">
        <v>254819</v>
      </c>
      <c r="D10" s="15">
        <v>1343346</v>
      </c>
      <c r="E10" s="15">
        <v>1598165</v>
      </c>
      <c r="F10" s="15">
        <v>1653225</v>
      </c>
      <c r="G10" s="16">
        <f>IF(AND(F65&lt;&gt;0,1653225&lt;&gt;0),IF(100*1653225/(F65-0)&lt;0.005,"*",100*1653225/(F65-0)),0)</f>
        <v>12.066240116590873</v>
      </c>
    </row>
    <row r="11" spans="1:7" x14ac:dyDescent="0.2">
      <c r="A11" s="9" t="s">
        <v>99</v>
      </c>
      <c r="B11" s="15">
        <v>134052</v>
      </c>
      <c r="C11" s="15">
        <v>22606</v>
      </c>
      <c r="D11" s="15">
        <v>119175</v>
      </c>
      <c r="E11" s="15">
        <v>141781</v>
      </c>
      <c r="F11" s="15">
        <v>146665</v>
      </c>
      <c r="G11" s="16">
        <f>IF(AND(F65&lt;&gt;0,146665&lt;&gt;0),IF(100*146665/(F65-0)&lt;0.005,"*",100*146665/(F65-0)),0)</f>
        <v>1.0704502452478037</v>
      </c>
    </row>
    <row r="12" spans="1:7" x14ac:dyDescent="0.2">
      <c r="A12" s="9" t="s">
        <v>100</v>
      </c>
      <c r="B12" s="15">
        <v>106076</v>
      </c>
      <c r="C12" s="15">
        <v>17888</v>
      </c>
      <c r="D12" s="15">
        <v>94303</v>
      </c>
      <c r="E12" s="15">
        <v>112191</v>
      </c>
      <c r="F12" s="15">
        <v>116057</v>
      </c>
      <c r="G12" s="16">
        <f>IF(AND(F65&lt;&gt;0,116057&lt;&gt;0),IF(100*116057/(F65-0)&lt;0.005,"*",100*116057/(F65-0)),0)</f>
        <v>0.84705447184211891</v>
      </c>
    </row>
    <row r="13" spans="1:7" x14ac:dyDescent="0.2">
      <c r="A13" s="9" t="s">
        <v>101</v>
      </c>
      <c r="B13" s="15">
        <v>36121</v>
      </c>
      <c r="C13" s="15">
        <v>6091</v>
      </c>
      <c r="D13" s="15">
        <v>32112</v>
      </c>
      <c r="E13" s="15">
        <v>38203</v>
      </c>
      <c r="F13" s="15">
        <v>39520</v>
      </c>
      <c r="G13" s="16">
        <f>IF(AND(F65&lt;&gt;0,39520&lt;&gt;0),IF(100*39520/(F65-0)&lt;0.005,"*",100*39520/(F65-0)),0)</f>
        <v>0.28844096200315827</v>
      </c>
    </row>
    <row r="14" spans="1:7" x14ac:dyDescent="0.2">
      <c r="A14" s="9" t="s">
        <v>102</v>
      </c>
      <c r="B14" s="15">
        <v>27747</v>
      </c>
      <c r="C14" s="15">
        <v>4679</v>
      </c>
      <c r="D14" s="15">
        <v>24668</v>
      </c>
      <c r="E14" s="15">
        <v>29347</v>
      </c>
      <c r="F14" s="15">
        <v>30358</v>
      </c>
      <c r="G14" s="16">
        <f>IF(AND(F65&lt;&gt;0,30358&lt;&gt;0),IF(100*30358/(F65-0)&lt;0.005,"*",100*30358/(F65-0)),0)</f>
        <v>0.22157112157115078</v>
      </c>
    </row>
    <row r="15" spans="1:7" x14ac:dyDescent="0.2">
      <c r="A15" s="9" t="s">
        <v>103</v>
      </c>
      <c r="B15" s="15">
        <v>894540</v>
      </c>
      <c r="C15" s="15">
        <v>150853</v>
      </c>
      <c r="D15" s="15">
        <v>795262</v>
      </c>
      <c r="E15" s="15">
        <v>946115</v>
      </c>
      <c r="F15" s="15">
        <v>978711</v>
      </c>
      <c r="G15" s="16">
        <f>IF(AND(F65&lt;&gt;0,978711&lt;&gt;0),IF(100*978711/(F65-0)&lt;0.005,"*",100*978711/(F65-0)),0)</f>
        <v>7.1432272865150059</v>
      </c>
    </row>
    <row r="16" spans="1:7" x14ac:dyDescent="0.2">
      <c r="A16" s="9" t="s">
        <v>104</v>
      </c>
      <c r="B16" s="15">
        <v>529881</v>
      </c>
      <c r="C16" s="15">
        <v>89358</v>
      </c>
      <c r="D16" s="15">
        <v>471074</v>
      </c>
      <c r="E16" s="15">
        <v>560432</v>
      </c>
      <c r="F16" s="15">
        <v>579739</v>
      </c>
      <c r="G16" s="16">
        <f>IF(AND(F65&lt;&gt;0,579739&lt;&gt;0),IF(100*579739/(F65-0)&lt;0.005,"*",100*579739/(F65-0)),0)</f>
        <v>4.2312873196039718</v>
      </c>
    </row>
    <row r="17" spans="1:7" x14ac:dyDescent="0.2">
      <c r="A17" s="9" t="s">
        <v>105</v>
      </c>
      <c r="B17" s="15">
        <v>46421</v>
      </c>
      <c r="C17" s="15">
        <v>7828</v>
      </c>
      <c r="D17" s="15">
        <v>41269</v>
      </c>
      <c r="E17" s="15">
        <v>49097</v>
      </c>
      <c r="F17" s="15">
        <v>50789</v>
      </c>
      <c r="G17" s="16">
        <f>IF(AND(F65&lt;&gt;0,50789&lt;&gt;0),IF(100*50789/(F65-0)&lt;0.005,"*",100*50789/(F65-0)),0)</f>
        <v>0.37068896809661955</v>
      </c>
    </row>
    <row r="18" spans="1:7" x14ac:dyDescent="0.2">
      <c r="A18" s="9" t="s">
        <v>106</v>
      </c>
      <c r="B18" s="15">
        <v>53083</v>
      </c>
      <c r="C18" s="15">
        <v>8952</v>
      </c>
      <c r="D18" s="15">
        <v>47192</v>
      </c>
      <c r="E18" s="15">
        <v>56144</v>
      </c>
      <c r="F18" s="15">
        <v>58078</v>
      </c>
      <c r="G18" s="16">
        <f>IF(AND(F65&lt;&gt;0,58078&lt;&gt;0),IF(100*58078/(F65-0)&lt;0.005,"*",100*58078/(F65-0)),0)</f>
        <v>0.42388851698429719</v>
      </c>
    </row>
    <row r="19" spans="1:7" x14ac:dyDescent="0.2">
      <c r="A19" s="9" t="s">
        <v>107</v>
      </c>
      <c r="B19" s="15">
        <v>462592</v>
      </c>
      <c r="C19" s="15">
        <v>78010</v>
      </c>
      <c r="D19" s="15">
        <v>411253</v>
      </c>
      <c r="E19" s="15">
        <v>489263</v>
      </c>
      <c r="F19" s="15">
        <v>506119</v>
      </c>
      <c r="G19" s="16">
        <f>IF(AND(F65&lt;&gt;0,506119&lt;&gt;0),IF(100*506119/(F65-0)&lt;0.005,"*",100*506119/(F65-0)),0)</f>
        <v>3.6939638473703558</v>
      </c>
    </row>
    <row r="20" spans="1:7" x14ac:dyDescent="0.2">
      <c r="A20" s="9" t="s">
        <v>108</v>
      </c>
      <c r="B20" s="15">
        <v>262958</v>
      </c>
      <c r="C20" s="15">
        <v>44345</v>
      </c>
      <c r="D20" s="15">
        <v>233774</v>
      </c>
      <c r="E20" s="15">
        <v>278119</v>
      </c>
      <c r="F20" s="15">
        <v>287701</v>
      </c>
      <c r="G20" s="16">
        <f>IF(AND(F65&lt;&gt;0,287701&lt;&gt;0),IF(100*287701/(F65-0)&lt;0.005,"*",100*287701/(F65-0)),0)</f>
        <v>2.0998166297892364</v>
      </c>
    </row>
    <row r="21" spans="1:7" x14ac:dyDescent="0.2">
      <c r="A21" s="9" t="s">
        <v>109</v>
      </c>
      <c r="B21" s="15">
        <v>110921</v>
      </c>
      <c r="C21" s="15">
        <v>18705</v>
      </c>
      <c r="D21" s="15">
        <v>98611</v>
      </c>
      <c r="E21" s="15">
        <v>117316</v>
      </c>
      <c r="F21" s="15">
        <v>121358</v>
      </c>
      <c r="G21" s="16">
        <f>IF(AND(F65&lt;&gt;0,121358&lt;&gt;0),IF(100*121358/(F65-0)&lt;0.005,"*",100*121358/(F65-0)),0)</f>
        <v>0.88574438934158095</v>
      </c>
    </row>
    <row r="22" spans="1:7" x14ac:dyDescent="0.2">
      <c r="A22" s="9" t="s">
        <v>110</v>
      </c>
      <c r="B22" s="15">
        <v>106817</v>
      </c>
      <c r="C22" s="15">
        <v>18013</v>
      </c>
      <c r="D22" s="15">
        <v>94962</v>
      </c>
      <c r="E22" s="15">
        <v>112975</v>
      </c>
      <c r="F22" s="15">
        <v>116868</v>
      </c>
      <c r="G22" s="16">
        <f>IF(AND(F65&lt;&gt;0,116868&lt;&gt;0),IF(100*116868/(F65-0)&lt;0.005,"*",100*116868/(F65-0)),0)</f>
        <v>0.85297364239334761</v>
      </c>
    </row>
    <row r="23" spans="1:7" x14ac:dyDescent="0.2">
      <c r="A23" s="9" t="s">
        <v>111</v>
      </c>
      <c r="B23" s="15">
        <v>232240</v>
      </c>
      <c r="C23" s="15">
        <v>39164</v>
      </c>
      <c r="D23" s="15">
        <v>206465</v>
      </c>
      <c r="E23" s="15">
        <v>245629</v>
      </c>
      <c r="F23" s="15">
        <v>254092</v>
      </c>
      <c r="G23" s="16">
        <f>IF(AND(F65&lt;&gt;0,254092&lt;&gt;0),IF(100*254092/(F65-0)&lt;0.005,"*",100*254092/(F65-0)),0)</f>
        <v>1.8545177357618039</v>
      </c>
    </row>
    <row r="24" spans="1:7" x14ac:dyDescent="0.2">
      <c r="A24" s="9" t="s">
        <v>112</v>
      </c>
      <c r="B24" s="15">
        <v>245105</v>
      </c>
      <c r="C24" s="15">
        <v>41334</v>
      </c>
      <c r="D24" s="15">
        <v>217903</v>
      </c>
      <c r="E24" s="15">
        <v>259237</v>
      </c>
      <c r="F24" s="15">
        <v>268168</v>
      </c>
      <c r="G24" s="16">
        <f>IF(AND(F65&lt;&gt;0,268168&lt;&gt;0),IF(100*268168/(F65-0)&lt;0.005,"*",100*268168/(F65-0)),0)</f>
        <v>1.9572529326534145</v>
      </c>
    </row>
    <row r="25" spans="1:7" x14ac:dyDescent="0.2">
      <c r="A25" s="9" t="s">
        <v>113</v>
      </c>
      <c r="B25" s="15">
        <v>33762</v>
      </c>
      <c r="C25" s="15">
        <v>5694</v>
      </c>
      <c r="D25" s="15">
        <v>30015</v>
      </c>
      <c r="E25" s="15">
        <v>35709</v>
      </c>
      <c r="F25" s="15">
        <v>36939</v>
      </c>
      <c r="G25" s="16">
        <f>IF(AND(F65&lt;&gt;0,36939&lt;&gt;0),IF(100*36939/(F65-0)&lt;0.005,"*",100*36939/(F65-0)),0)</f>
        <v>0.2696032564634277</v>
      </c>
    </row>
    <row r="26" spans="1:7" x14ac:dyDescent="0.2">
      <c r="A26" s="9" t="s">
        <v>114</v>
      </c>
      <c r="B26" s="15">
        <v>179171</v>
      </c>
      <c r="C26" s="15">
        <v>30215</v>
      </c>
      <c r="D26" s="15">
        <v>159286</v>
      </c>
      <c r="E26" s="15">
        <v>189501</v>
      </c>
      <c r="F26" s="15">
        <v>196030</v>
      </c>
      <c r="G26" s="16">
        <f>IF(AND(F65&lt;&gt;0,196030&lt;&gt;0),IF(100*196030/(F65-0)&lt;0.005,"*",100*196030/(F65-0)),0)</f>
        <v>1.4307459964949167</v>
      </c>
    </row>
    <row r="27" spans="1:7" x14ac:dyDescent="0.2">
      <c r="A27" s="9" t="s">
        <v>115</v>
      </c>
      <c r="B27" s="15">
        <v>198930</v>
      </c>
      <c r="C27" s="15">
        <v>33547</v>
      </c>
      <c r="D27" s="15">
        <v>176852</v>
      </c>
      <c r="E27" s="15">
        <v>210399</v>
      </c>
      <c r="F27" s="15">
        <v>217648</v>
      </c>
      <c r="G27" s="16">
        <f>IF(AND(F65&lt;&gt;0,217648&lt;&gt;0),IF(100*217648/(F65-0)&lt;0.005,"*",100*217648/(F65-0)),0)</f>
        <v>1.5885272899307536</v>
      </c>
    </row>
    <row r="28" spans="1:7" x14ac:dyDescent="0.2">
      <c r="A28" s="9" t="s">
        <v>116</v>
      </c>
      <c r="B28" s="15">
        <v>309536</v>
      </c>
      <c r="C28" s="15">
        <v>52199</v>
      </c>
      <c r="D28" s="15">
        <v>275183</v>
      </c>
      <c r="E28" s="15">
        <v>327382</v>
      </c>
      <c r="F28" s="15">
        <v>338661</v>
      </c>
      <c r="G28" s="16">
        <f>IF(AND(F65&lt;&gt;0,338661&lt;&gt;0),IF(100*338661/(F65-0)&lt;0.005,"*",100*338661/(F65-0)),0)</f>
        <v>2.4717536597406777</v>
      </c>
    </row>
    <row r="29" spans="1:7" x14ac:dyDescent="0.2">
      <c r="A29" s="9" t="s">
        <v>117</v>
      </c>
      <c r="B29" s="15">
        <v>169411</v>
      </c>
      <c r="C29" s="15">
        <v>28569</v>
      </c>
      <c r="D29" s="15">
        <v>150609</v>
      </c>
      <c r="E29" s="15">
        <v>179178</v>
      </c>
      <c r="F29" s="15">
        <v>185351</v>
      </c>
      <c r="G29" s="16">
        <f>IF(AND(F65&lt;&gt;0,185351&lt;&gt;0),IF(100*185351/(F65-0)&lt;0.005,"*",100*185351/(F65-0)),0)</f>
        <v>1.3528041687309562</v>
      </c>
    </row>
    <row r="30" spans="1:7" x14ac:dyDescent="0.2">
      <c r="A30" s="9" t="s">
        <v>118</v>
      </c>
      <c r="B30" s="15">
        <v>170259</v>
      </c>
      <c r="C30" s="15">
        <v>28712</v>
      </c>
      <c r="D30" s="15">
        <v>151363</v>
      </c>
      <c r="E30" s="15">
        <v>180075</v>
      </c>
      <c r="F30" s="15">
        <v>186279</v>
      </c>
      <c r="G30" s="16">
        <f>IF(AND(F65&lt;&gt;0,186279&lt;&gt;0),IF(100*186279/(F65-0)&lt;0.005,"*",100*186279/(F65-0)),0)</f>
        <v>1.3595772763407468</v>
      </c>
    </row>
    <row r="31" spans="1:7" x14ac:dyDescent="0.2">
      <c r="A31" s="9" t="s">
        <v>119</v>
      </c>
      <c r="B31" s="15">
        <v>211068</v>
      </c>
      <c r="C31" s="15">
        <v>35594</v>
      </c>
      <c r="D31" s="15">
        <v>187643</v>
      </c>
      <c r="E31" s="15">
        <v>223237</v>
      </c>
      <c r="F31" s="15">
        <v>230928</v>
      </c>
      <c r="G31" s="16">
        <f>IF(AND(F65&lt;&gt;0,230928&lt;&gt;0),IF(100*230928/(F65-0)&lt;0.005,"*",100*230928/(F65-0)),0)</f>
        <v>1.6854527953812077</v>
      </c>
    </row>
    <row r="32" spans="1:7" x14ac:dyDescent="0.2">
      <c r="A32" s="9" t="s">
        <v>120</v>
      </c>
      <c r="B32" s="15">
        <v>28843</v>
      </c>
      <c r="C32" s="15">
        <v>4864</v>
      </c>
      <c r="D32" s="15">
        <v>25642</v>
      </c>
      <c r="E32" s="15">
        <v>30506</v>
      </c>
      <c r="F32" s="15">
        <v>31557</v>
      </c>
      <c r="G32" s="16">
        <f>IF(AND(F65&lt;&gt;0,31557&lt;&gt;0),IF(100*31557/(F65-0)&lt;0.005,"*",100*31557/(F65-0)),0)</f>
        <v>0.23032215176957654</v>
      </c>
    </row>
    <row r="33" spans="1:7" x14ac:dyDescent="0.2">
      <c r="A33" s="9" t="s">
        <v>121</v>
      </c>
      <c r="B33" s="15">
        <v>75691</v>
      </c>
      <c r="C33" s="15">
        <v>12764</v>
      </c>
      <c r="D33" s="15">
        <v>67291</v>
      </c>
      <c r="E33" s="15">
        <v>80055</v>
      </c>
      <c r="F33" s="15">
        <v>82813</v>
      </c>
      <c r="G33" s="16">
        <f>IF(AND(F65&lt;&gt;0,82813&lt;&gt;0),IF(100*82813/(F65-0)&lt;0.005,"*",100*82813/(F65-0)),0)</f>
        <v>0.60441956949310593</v>
      </c>
    </row>
    <row r="34" spans="1:7" x14ac:dyDescent="0.2">
      <c r="A34" s="9" t="s">
        <v>122</v>
      </c>
      <c r="B34" s="15">
        <v>103301</v>
      </c>
      <c r="C34" s="15">
        <v>17420</v>
      </c>
      <c r="D34" s="15">
        <v>91836</v>
      </c>
      <c r="E34" s="15">
        <v>109256</v>
      </c>
      <c r="F34" s="15">
        <v>113021</v>
      </c>
      <c r="G34" s="16">
        <f>IF(AND(F65&lt;&gt;0,113021&lt;&gt;0),IF(100*113021/(F65-0)&lt;0.005,"*",100*113021/(F65-0)),0)</f>
        <v>0.82489589996353618</v>
      </c>
    </row>
    <row r="35" spans="1:7" x14ac:dyDescent="0.2">
      <c r="A35" s="9" t="s">
        <v>123</v>
      </c>
      <c r="B35" s="15">
        <v>21353</v>
      </c>
      <c r="C35" s="15">
        <v>3601</v>
      </c>
      <c r="D35" s="15">
        <v>18983</v>
      </c>
      <c r="E35" s="15">
        <v>22584</v>
      </c>
      <c r="F35" s="15">
        <v>23362</v>
      </c>
      <c r="G35" s="16">
        <f>IF(AND(F65&lt;&gt;0,23362&lt;&gt;0),IF(100*23362/(F65-0)&lt;0.005,"*",100*23362/(F65-0)),0)</f>
        <v>0.17051006463354715</v>
      </c>
    </row>
    <row r="36" spans="1:7" x14ac:dyDescent="0.2">
      <c r="A36" s="9" t="s">
        <v>124</v>
      </c>
      <c r="B36" s="15">
        <v>262027</v>
      </c>
      <c r="C36" s="15">
        <v>44188</v>
      </c>
      <c r="D36" s="15">
        <v>232947</v>
      </c>
      <c r="E36" s="15">
        <v>277135</v>
      </c>
      <c r="F36" s="15">
        <v>286682</v>
      </c>
      <c r="G36" s="16">
        <f>IF(AND(F65&lt;&gt;0,286682&lt;&gt;0),IF(100*286682/(F65-0)&lt;0.005,"*",100*286682/(F65-0)),0)</f>
        <v>2.0923793489116753</v>
      </c>
    </row>
    <row r="37" spans="1:7" x14ac:dyDescent="0.2">
      <c r="A37" s="9" t="s">
        <v>125</v>
      </c>
      <c r="B37" s="15">
        <v>101724</v>
      </c>
      <c r="C37" s="15">
        <v>17154</v>
      </c>
      <c r="D37" s="15">
        <v>90434</v>
      </c>
      <c r="E37" s="15">
        <v>107588</v>
      </c>
      <c r="F37" s="15">
        <v>111296</v>
      </c>
      <c r="G37" s="16">
        <f>IF(AND(F65&lt;&gt;0,111296&lt;&gt;0),IF(100*111296/(F65-0)&lt;0.005,"*",100*111296/(F65-0)),0)</f>
        <v>0.81230580230525051</v>
      </c>
    </row>
    <row r="38" spans="1:7" x14ac:dyDescent="0.2">
      <c r="A38" s="9" t="s">
        <v>126</v>
      </c>
      <c r="B38" s="15">
        <v>784246</v>
      </c>
      <c r="C38" s="15">
        <v>132253</v>
      </c>
      <c r="D38" s="15">
        <v>697209</v>
      </c>
      <c r="E38" s="15">
        <v>829462</v>
      </c>
      <c r="F38" s="15">
        <v>858039</v>
      </c>
      <c r="G38" s="16">
        <f>IF(AND(F65&lt;&gt;0,858039&lt;&gt;0),IF(100*858039/(F65-0)&lt;0.005,"*",100*858039/(F65-0)),0)</f>
        <v>6.2624897418073866</v>
      </c>
    </row>
    <row r="39" spans="1:7" x14ac:dyDescent="0.2">
      <c r="A39" s="9" t="s">
        <v>127</v>
      </c>
      <c r="B39" s="15">
        <v>376053</v>
      </c>
      <c r="C39" s="15">
        <v>63417</v>
      </c>
      <c r="D39" s="15">
        <v>334318</v>
      </c>
      <c r="E39" s="15">
        <v>397735</v>
      </c>
      <c r="F39" s="15">
        <v>411437</v>
      </c>
      <c r="G39" s="16">
        <f>IF(AND(F65&lt;&gt;0,411437&lt;&gt;0),IF(100*411437/(F65-0)&lt;0.005,"*",100*411437/(F65-0)),0)</f>
        <v>3.0029171073809064</v>
      </c>
    </row>
    <row r="40" spans="1:7" x14ac:dyDescent="0.2">
      <c r="A40" s="9" t="s">
        <v>128</v>
      </c>
      <c r="B40" s="15">
        <v>22011</v>
      </c>
      <c r="C40" s="15">
        <v>3712</v>
      </c>
      <c r="D40" s="15">
        <v>19568</v>
      </c>
      <c r="E40" s="15">
        <v>23280</v>
      </c>
      <c r="F40" s="15">
        <v>24082</v>
      </c>
      <c r="G40" s="16">
        <f>IF(AND(F65&lt;&gt;0,24082&lt;&gt;0),IF(100*24082/(F65-0)&lt;0.005,"*",100*24082/(F65-0)),0)</f>
        <v>0.1757650619170055</v>
      </c>
    </row>
    <row r="41" spans="1:7" x14ac:dyDescent="0.2">
      <c r="A41" s="9" t="s">
        <v>129</v>
      </c>
      <c r="B41" s="15">
        <v>357805</v>
      </c>
      <c r="C41" s="15">
        <v>60339</v>
      </c>
      <c r="D41" s="15">
        <v>318095</v>
      </c>
      <c r="E41" s="15">
        <v>378434</v>
      </c>
      <c r="F41" s="15">
        <v>391472</v>
      </c>
      <c r="G41" s="16">
        <f>IF(AND(F65&lt;&gt;0,391472&lt;&gt;0),IF(100*391472/(F65-0)&lt;0.005,"*",100*391472/(F65-0)),0)</f>
        <v>2.8572004118750094</v>
      </c>
    </row>
    <row r="42" spans="1:7" x14ac:dyDescent="0.2">
      <c r="A42" s="9" t="s">
        <v>130</v>
      </c>
      <c r="B42" s="15">
        <v>167688</v>
      </c>
      <c r="C42" s="15">
        <v>28279</v>
      </c>
      <c r="D42" s="15">
        <v>149078</v>
      </c>
      <c r="E42" s="15">
        <v>177357</v>
      </c>
      <c r="F42" s="15">
        <v>183466</v>
      </c>
      <c r="G42" s="16">
        <f>IF(AND(F65&lt;&gt;0,183466&lt;&gt;0),IF(100*183466/(F65-0)&lt;0.005,"*",100*183466/(F65-0)),0)</f>
        <v>1.3390462938985686</v>
      </c>
    </row>
    <row r="43" spans="1:7" x14ac:dyDescent="0.2">
      <c r="A43" s="9" t="s">
        <v>131</v>
      </c>
      <c r="B43" s="15">
        <v>115843</v>
      </c>
      <c r="C43" s="15">
        <v>19535</v>
      </c>
      <c r="D43" s="15">
        <v>102986</v>
      </c>
      <c r="E43" s="15">
        <v>122521</v>
      </c>
      <c r="F43" s="15">
        <v>126743</v>
      </c>
      <c r="G43" s="16">
        <f>IF(AND(F65&lt;&gt;0,126743&lt;&gt;0),IF(100*126743/(F65-0)&lt;0.005,"*",100*126743/(F65-0)),0)</f>
        <v>0.9250473898574465</v>
      </c>
    </row>
    <row r="44" spans="1:7" x14ac:dyDescent="0.2">
      <c r="A44" s="9" t="s">
        <v>132</v>
      </c>
      <c r="B44" s="15">
        <v>396665</v>
      </c>
      <c r="C44" s="15">
        <v>66893</v>
      </c>
      <c r="D44" s="15">
        <v>352642</v>
      </c>
      <c r="E44" s="15">
        <v>419535</v>
      </c>
      <c r="F44" s="15">
        <v>433989</v>
      </c>
      <c r="G44" s="16">
        <f>IF(AND(F65&lt;&gt;0,433989&lt;&gt;0),IF(100*433989/(F65-0)&lt;0.005,"*",100*433989/(F65-0)),0)</f>
        <v>3.1675153000705629</v>
      </c>
    </row>
    <row r="45" spans="1:7" x14ac:dyDescent="0.2">
      <c r="A45" s="9" t="s">
        <v>133</v>
      </c>
      <c r="B45" s="15">
        <v>30594</v>
      </c>
      <c r="C45" s="15">
        <v>5159</v>
      </c>
      <c r="D45" s="15">
        <v>27199</v>
      </c>
      <c r="E45" s="15">
        <v>32358</v>
      </c>
      <c r="F45" s="15">
        <v>33473</v>
      </c>
      <c r="G45" s="16">
        <f>IF(AND(F65&lt;&gt;0,33473&lt;&gt;0),IF(100*33473/(F65-0)&lt;0.005,"*",100*33473/(F65-0)),0)</f>
        <v>0.24430628342944627</v>
      </c>
    </row>
    <row r="46" spans="1:7" x14ac:dyDescent="0.2">
      <c r="A46" s="9" t="s">
        <v>134</v>
      </c>
      <c r="B46" s="15">
        <v>210498</v>
      </c>
      <c r="C46" s="15">
        <v>35498</v>
      </c>
      <c r="D46" s="15">
        <v>187136</v>
      </c>
      <c r="E46" s="15">
        <v>222634</v>
      </c>
      <c r="F46" s="15">
        <v>230305</v>
      </c>
      <c r="G46" s="16">
        <f>IF(AND(F65&lt;&gt;0,230305&lt;&gt;0),IF(100*230305/(F65-0)&lt;0.005,"*",100*230305/(F65-0)),0)</f>
        <v>1.6809057630095485</v>
      </c>
    </row>
    <row r="47" spans="1:7" x14ac:dyDescent="0.2">
      <c r="A47" s="9" t="s">
        <v>135</v>
      </c>
      <c r="B47" s="15">
        <v>29023</v>
      </c>
      <c r="C47" s="15">
        <v>4894</v>
      </c>
      <c r="D47" s="15">
        <v>25802</v>
      </c>
      <c r="E47" s="15">
        <v>30696</v>
      </c>
      <c r="F47" s="15">
        <v>31754</v>
      </c>
      <c r="G47" s="16">
        <f>IF(AND(F65&lt;&gt;0,31754&lt;&gt;0),IF(100*31754/(F65-0)&lt;0.005,"*",100*31754/(F65-0)),0)</f>
        <v>0.23175997741518944</v>
      </c>
    </row>
    <row r="48" spans="1:7" x14ac:dyDescent="0.2">
      <c r="A48" s="9" t="s">
        <v>136</v>
      </c>
      <c r="B48" s="15">
        <v>284569</v>
      </c>
      <c r="C48" s="15">
        <v>47989</v>
      </c>
      <c r="D48" s="15">
        <v>252987</v>
      </c>
      <c r="E48" s="15">
        <v>300976</v>
      </c>
      <c r="F48" s="15">
        <v>311345</v>
      </c>
      <c r="G48" s="16">
        <f>IF(AND(F65&lt;&gt;0,311345&lt;&gt;0),IF(100*311345/(F65-0)&lt;0.005,"*",100*311345/(F65-0)),0)</f>
        <v>2.2723849016921385</v>
      </c>
    </row>
    <row r="49" spans="1:7" x14ac:dyDescent="0.2">
      <c r="A49" s="9" t="s">
        <v>137</v>
      </c>
      <c r="B49" s="15">
        <v>1509891</v>
      </c>
      <c r="C49" s="15">
        <v>254624</v>
      </c>
      <c r="D49" s="15">
        <v>1342320</v>
      </c>
      <c r="E49" s="15">
        <v>1596944</v>
      </c>
      <c r="F49" s="15">
        <v>1651962</v>
      </c>
      <c r="G49" s="16">
        <f>IF(AND(F65&lt;&gt;0,1651962&lt;&gt;0),IF(100*1651962/(F65-0)&lt;0.005,"*",100*1651962/(F65-0)),0)</f>
        <v>12.057021975522806</v>
      </c>
    </row>
    <row r="50" spans="1:7" x14ac:dyDescent="0.2">
      <c r="A50" s="9" t="s">
        <v>138</v>
      </c>
      <c r="B50" s="15">
        <v>101037</v>
      </c>
      <c r="C50" s="15">
        <v>17039</v>
      </c>
      <c r="D50" s="15">
        <v>89824</v>
      </c>
      <c r="E50" s="15">
        <v>106863</v>
      </c>
      <c r="F50" s="15">
        <v>110544</v>
      </c>
      <c r="G50" s="16">
        <f>IF(AND(F65&lt;&gt;0,110544&lt;&gt;0),IF(100*110544/(F65-0)&lt;0.005,"*",100*110544/(F65-0)),0)</f>
        <v>0.80681724958697176</v>
      </c>
    </row>
    <row r="51" spans="1:7" x14ac:dyDescent="0.2">
      <c r="A51" s="9" t="s">
        <v>139</v>
      </c>
      <c r="B51" s="15">
        <v>15875</v>
      </c>
      <c r="C51" s="15">
        <v>2677</v>
      </c>
      <c r="D51" s="15">
        <v>14113</v>
      </c>
      <c r="E51" s="15">
        <v>16790</v>
      </c>
      <c r="F51" s="15">
        <v>17369</v>
      </c>
      <c r="G51" s="16">
        <f>IF(AND(F65&lt;&gt;0,17369&lt;&gt;0),IF(100*17369/(F65-0)&lt;0.005,"*",100*17369/(F65-0)),0)</f>
        <v>0.12676951085609453</v>
      </c>
    </row>
    <row r="52" spans="1:7" x14ac:dyDescent="0.2">
      <c r="A52" s="9" t="s">
        <v>140</v>
      </c>
      <c r="B52" s="15">
        <v>242989</v>
      </c>
      <c r="C52" s="15">
        <v>40977</v>
      </c>
      <c r="D52" s="15">
        <v>216022</v>
      </c>
      <c r="E52" s="15">
        <v>256999</v>
      </c>
      <c r="F52" s="15">
        <v>265853</v>
      </c>
      <c r="G52" s="16">
        <f>IF(AND(F65&lt;&gt;0,265853&lt;&gt;0),IF(100*265853/(F65-0)&lt;0.005,"*",100*265853/(F65-0)),0)</f>
        <v>1.9403566566656283</v>
      </c>
    </row>
    <row r="53" spans="1:7" x14ac:dyDescent="0.2">
      <c r="A53" s="9" t="s">
        <v>141</v>
      </c>
      <c r="B53" s="15">
        <v>200052</v>
      </c>
      <c r="C53" s="15">
        <v>33736</v>
      </c>
      <c r="D53" s="15">
        <v>177850</v>
      </c>
      <c r="E53" s="15">
        <v>211586</v>
      </c>
      <c r="F53" s="15">
        <v>218876</v>
      </c>
      <c r="G53" s="16">
        <f>IF(AND(F65&lt;&gt;0,218876&lt;&gt;0),IF(100*218876/(F65-0)&lt;0.005,"*",100*218876/(F65-0)),0)</f>
        <v>1.5974899797419855</v>
      </c>
    </row>
    <row r="54" spans="1:7" x14ac:dyDescent="0.2">
      <c r="A54" s="9" t="s">
        <v>142</v>
      </c>
      <c r="B54" s="15">
        <v>81246</v>
      </c>
      <c r="C54" s="15">
        <v>13701</v>
      </c>
      <c r="D54" s="15">
        <v>72229</v>
      </c>
      <c r="E54" s="15">
        <v>85930</v>
      </c>
      <c r="F54" s="15">
        <v>88891</v>
      </c>
      <c r="G54" s="16">
        <f>IF(AND(F65&lt;&gt;0,88891&lt;&gt;0),IF(100*88891/(F65-0)&lt;0.005,"*",100*88891/(F65-0)),0)</f>
        <v>0.64878050489430006</v>
      </c>
    </row>
    <row r="55" spans="1:7" x14ac:dyDescent="0.2">
      <c r="A55" s="9" t="s">
        <v>143</v>
      </c>
      <c r="B55" s="15">
        <v>171224</v>
      </c>
      <c r="C55" s="15">
        <v>28875</v>
      </c>
      <c r="D55" s="15">
        <v>152221</v>
      </c>
      <c r="E55" s="15">
        <v>181096</v>
      </c>
      <c r="F55" s="15">
        <v>187335</v>
      </c>
      <c r="G55" s="16">
        <f>IF(AND(F65&lt;&gt;0,187335&lt;&gt;0),IF(100*187335/(F65-0)&lt;0.005,"*",100*187335/(F65-0)),0)</f>
        <v>1.3672846056898191</v>
      </c>
    </row>
    <row r="56" spans="1:7" x14ac:dyDescent="0.2">
      <c r="A56" s="9" t="s">
        <v>144</v>
      </c>
      <c r="B56" s="15">
        <v>14857</v>
      </c>
      <c r="C56" s="15">
        <v>2505</v>
      </c>
      <c r="D56" s="15">
        <v>13208</v>
      </c>
      <c r="E56" s="15">
        <v>15713</v>
      </c>
      <c r="F56" s="15">
        <v>16255</v>
      </c>
      <c r="G56" s="16">
        <f>IF(AND(F65&lt;&gt;0,16255&lt;&gt;0),IF(100*16255/(F65-0)&lt;0.005,"*",100*16255/(F65-0)),0)</f>
        <v>0.11863886228141036</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8773</v>
      </c>
      <c r="C58" s="15">
        <v>1479</v>
      </c>
      <c r="D58" s="15">
        <v>7799</v>
      </c>
      <c r="E58" s="15">
        <v>9278</v>
      </c>
      <c r="F58" s="15">
        <v>9598</v>
      </c>
      <c r="G58" s="16">
        <f>IF(AND(F65&lt;&gt;0,9598&lt;&gt;0),IF(100*9598/(F65-0)&lt;0.005,"*",100*9598/(F65-0)),0)</f>
        <v>7.0052033231435037E-2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110701</v>
      </c>
      <c r="C60" s="15">
        <v>18668</v>
      </c>
      <c r="D60" s="15">
        <v>98415</v>
      </c>
      <c r="E60" s="15">
        <v>117083</v>
      </c>
      <c r="F60" s="15">
        <v>121117</v>
      </c>
      <c r="G60" s="16">
        <f>IF(AND(F65&lt;&gt;0,121117&lt;&gt;0),IF(100*121117/(F65-0)&lt;0.005,"*",100*121117/(F65-0)),0)</f>
        <v>0.88398542497309007</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2137</v>
      </c>
      <c r="C62" s="15">
        <v>360</v>
      </c>
      <c r="D62" s="15">
        <v>1900</v>
      </c>
      <c r="E62" s="15">
        <v>2260</v>
      </c>
      <c r="F62" s="15">
        <v>2338</v>
      </c>
      <c r="G62" s="16">
        <f>IF(AND(F65&lt;&gt;0,2338&lt;&gt;0),IF(100*2338/(F65-0)&lt;0.005,"*",100*2338/(F65-0)),0)</f>
        <v>1.706414395656336E-2</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237799</v>
      </c>
      <c r="C64" s="15">
        <v>0</v>
      </c>
      <c r="D64" s="15">
        <v>0</v>
      </c>
      <c r="E64" s="15">
        <v>0</v>
      </c>
      <c r="F64" s="15">
        <v>0</v>
      </c>
      <c r="G64" s="16">
        <v>0</v>
      </c>
    </row>
    <row r="65" spans="1:7" ht="15" customHeight="1" x14ac:dyDescent="0.2">
      <c r="A65" s="17" t="s">
        <v>93</v>
      </c>
      <c r="B65" s="18">
        <f>214168+37883+275636+136776+1511045+134052+106076+36121+27747+894540+529881+46421+53083+462592+262958+110921+106817+232240+245105+33762+179171+198930+309536+169411+170259+211068+28843+75691+103301+21353+262027+101724+784246+376053+22011+357805+167688+115843+396665+30594+210498+29023+284569+1509891+101037+15875+242989+200052+81246+171224+14857+0+8773+0+110701+0+2137+0+237799+0</f>
        <v>12760714</v>
      </c>
      <c r="C65" s="18">
        <f>36117+6388+46483+23066+254819+22606+17888+6091+4679+150853+89358+7828+8952+78010+44345+18705+18013+39164+41334+5694+30215+33547+52199+28569+28712+35594+4864+12764+17420+3601+44188+17154+132253+63417+3712+60339+28279+19535+66893+5159+35498+4894+47989+254624+17039+2677+40977+33736+13701+28875+2505+0+1479+0+18668+0+360+0+0+0</f>
        <v>2111829</v>
      </c>
      <c r="D65" s="18">
        <f>190399+33679+245045+121596+1343346+119175+94303+32112+24668+795262+471074+41269+47192+411253+233774+98611+94962+206465+217903+30015+159286+176852+275183+150609+151363+187643+25642+67291+91836+18983+232947+90434+697209+334318+19568+318095+149078+102986+352642+27199+187136+25802+252987+1342320+89824+14113+216022+177850+72229+152221+13208+0+7799+0+98415+0+1900+0+0+0</f>
        <v>11133093</v>
      </c>
      <c r="E65" s="18">
        <f>SUM(C65:D65)</f>
        <v>13244922</v>
      </c>
      <c r="F65" s="18">
        <f>234320+41448+301572+149646+1653225+146665+116057+39520+30358+978711+579739+50789+58078+506119+287701+121358+116868+254092+268168+36939+196030+217648+338661+185351+186279+230928+31557+82813+113021+23362+286682+111296+858039+411437+24082+391472+183466+126743+433989+33473+230305+31754+311345+1651962+110544+17369+265853+218876+88891+187335+16255+0+9598+0+121117+0+2338+0+0+0</f>
        <v>13701244</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82</v>
      </c>
      <c r="B1" s="8"/>
      <c r="C1" s="8"/>
      <c r="D1" s="8"/>
      <c r="E1" s="8"/>
      <c r="F1" s="8"/>
      <c r="G1" s="10" t="s">
        <v>157</v>
      </c>
    </row>
    <row r="2" spans="1:7" x14ac:dyDescent="0.2">
      <c r="A2" s="11" t="s">
        <v>158</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101634</v>
      </c>
      <c r="C6" s="15">
        <v>17228</v>
      </c>
      <c r="D6" s="15">
        <v>77021</v>
      </c>
      <c r="E6" s="15">
        <v>94249</v>
      </c>
      <c r="F6" s="15">
        <v>97253</v>
      </c>
      <c r="G6" s="16">
        <f>IF(AND(F65&lt;&gt;0,97253&lt;&gt;0),IF(100*97253/(F65-0)&lt;0.005,"*",100*97253/(F65-0)),0)</f>
        <v>1.6869557675628795</v>
      </c>
    </row>
    <row r="7" spans="1:7" x14ac:dyDescent="0.2">
      <c r="A7" s="9" t="s">
        <v>95</v>
      </c>
      <c r="B7" s="15">
        <v>19990</v>
      </c>
      <c r="C7" s="15">
        <v>3389</v>
      </c>
      <c r="D7" s="15">
        <v>15149</v>
      </c>
      <c r="E7" s="15">
        <v>18538</v>
      </c>
      <c r="F7" s="15">
        <v>19128</v>
      </c>
      <c r="G7" s="16">
        <f>IF(AND(F65&lt;&gt;0,19128&lt;&gt;0),IF(100*19128/(F65-0)&lt;0.005,"*",100*19128/(F65-0)),0)</f>
        <v>0.33179531656548134</v>
      </c>
    </row>
    <row r="8" spans="1:7" x14ac:dyDescent="0.2">
      <c r="A8" s="9" t="s">
        <v>96</v>
      </c>
      <c r="B8" s="15">
        <v>112669</v>
      </c>
      <c r="C8" s="15">
        <v>19099</v>
      </c>
      <c r="D8" s="15">
        <v>85384</v>
      </c>
      <c r="E8" s="15">
        <v>104483</v>
      </c>
      <c r="F8" s="15">
        <v>107813</v>
      </c>
      <c r="G8" s="16">
        <f>IF(AND(F65&lt;&gt;0,107813&lt;&gt;0),IF(100*107813/(F65-0)&lt;0.005,"*",100*107813/(F65-0)),0)</f>
        <v>1.8701300954032958</v>
      </c>
    </row>
    <row r="9" spans="1:7" x14ac:dyDescent="0.2">
      <c r="A9" s="9" t="s">
        <v>97</v>
      </c>
      <c r="B9" s="15">
        <v>63026</v>
      </c>
      <c r="C9" s="15">
        <v>10684</v>
      </c>
      <c r="D9" s="15">
        <v>47763</v>
      </c>
      <c r="E9" s="15">
        <v>58447</v>
      </c>
      <c r="F9" s="15">
        <v>60309</v>
      </c>
      <c r="G9" s="16">
        <f>IF(AND(F65&lt;&gt;0,60309&lt;&gt;0),IF(100*60309/(F65-0)&lt;0.005,"*",100*60309/(F65-0)),0)</f>
        <v>1.0461231569817866</v>
      </c>
    </row>
    <row r="10" spans="1:7" x14ac:dyDescent="0.2">
      <c r="A10" s="9" t="s">
        <v>98</v>
      </c>
      <c r="B10" s="15">
        <v>953185</v>
      </c>
      <c r="C10" s="15">
        <v>161578</v>
      </c>
      <c r="D10" s="15">
        <v>722350</v>
      </c>
      <c r="E10" s="15">
        <v>883928</v>
      </c>
      <c r="F10" s="15">
        <v>912100</v>
      </c>
      <c r="G10" s="16">
        <f>IF(AND(F65&lt;&gt;0,912100&lt;&gt;0),IF(100*912100/(F65-0)&lt;0.005,"*",100*912100/(F65-0)),0)</f>
        <v>15.821335646140502</v>
      </c>
    </row>
    <row r="11" spans="1:7" x14ac:dyDescent="0.2">
      <c r="A11" s="9" t="s">
        <v>99</v>
      </c>
      <c r="B11" s="15">
        <v>64601</v>
      </c>
      <c r="C11" s="15">
        <v>10951</v>
      </c>
      <c r="D11" s="15">
        <v>48956</v>
      </c>
      <c r="E11" s="15">
        <v>59907</v>
      </c>
      <c r="F11" s="15">
        <v>61817</v>
      </c>
      <c r="G11" s="16">
        <f>IF(AND(F65&lt;&gt;0,61817&lt;&gt;0),IF(100*61817/(F65-0)&lt;0.005,"*",100*61817/(F65-0)),0)</f>
        <v>1.0722810060711188</v>
      </c>
    </row>
    <row r="12" spans="1:7" x14ac:dyDescent="0.2">
      <c r="A12" s="9" t="s">
        <v>100</v>
      </c>
      <c r="B12" s="15">
        <v>42256</v>
      </c>
      <c r="C12" s="15">
        <v>7163</v>
      </c>
      <c r="D12" s="15">
        <v>32023</v>
      </c>
      <c r="E12" s="15">
        <v>39186</v>
      </c>
      <c r="F12" s="15">
        <v>40435</v>
      </c>
      <c r="G12" s="16">
        <f>IF(AND(F65&lt;&gt;0,40435&lt;&gt;0),IF(100*40435/(F65-0)&lt;0.005,"*",100*40435/(F65-0)),0)</f>
        <v>0.7013876843018213</v>
      </c>
    </row>
    <row r="13" spans="1:7" x14ac:dyDescent="0.2">
      <c r="A13" s="9" t="s">
        <v>101</v>
      </c>
      <c r="B13" s="15">
        <v>14531</v>
      </c>
      <c r="C13" s="15">
        <v>2463</v>
      </c>
      <c r="D13" s="15">
        <v>11012</v>
      </c>
      <c r="E13" s="15">
        <v>13475</v>
      </c>
      <c r="F13" s="15">
        <v>13905</v>
      </c>
      <c r="G13" s="16">
        <f>IF(AND(F65&lt;&gt;0,13905&lt;&gt;0),IF(100*13905/(F65-0)&lt;0.005,"*",100*13905/(F65-0)),0)</f>
        <v>0.24119687771032089</v>
      </c>
    </row>
    <row r="14" spans="1:7" x14ac:dyDescent="0.2">
      <c r="A14" s="9" t="s">
        <v>102</v>
      </c>
      <c r="B14" s="15">
        <v>13210</v>
      </c>
      <c r="C14" s="15">
        <v>2239</v>
      </c>
      <c r="D14" s="15">
        <v>10011</v>
      </c>
      <c r="E14" s="15">
        <v>12250</v>
      </c>
      <c r="F14" s="15">
        <v>12641</v>
      </c>
      <c r="G14" s="16">
        <f>IF(AND(F65&lt;&gt;0,12641&lt;&gt;0),IF(100*12641/(F65-0)&lt;0.005,"*",100*12641/(F65-0)),0)</f>
        <v>0.2192714657415438</v>
      </c>
    </row>
    <row r="15" spans="1:7" x14ac:dyDescent="0.2">
      <c r="A15" s="9" t="s">
        <v>103</v>
      </c>
      <c r="B15" s="15">
        <v>356466</v>
      </c>
      <c r="C15" s="15">
        <v>60426</v>
      </c>
      <c r="D15" s="15">
        <v>270140</v>
      </c>
      <c r="E15" s="15">
        <v>330566</v>
      </c>
      <c r="F15" s="15">
        <v>341101</v>
      </c>
      <c r="G15" s="16">
        <f>IF(AND(F65&lt;&gt;0,341101&lt;&gt;0),IF(100*341101/(F65-0)&lt;0.005,"*",100*341101/(F65-0)),0)</f>
        <v>5.9167562879444926</v>
      </c>
    </row>
    <row r="16" spans="1:7" x14ac:dyDescent="0.2">
      <c r="A16" s="9" t="s">
        <v>104</v>
      </c>
      <c r="B16" s="15">
        <v>193364</v>
      </c>
      <c r="C16" s="15">
        <v>32778</v>
      </c>
      <c r="D16" s="15">
        <v>146536</v>
      </c>
      <c r="E16" s="15">
        <v>179314</v>
      </c>
      <c r="F16" s="15">
        <v>185029</v>
      </c>
      <c r="G16" s="16">
        <f>IF(AND(F65&lt;&gt;0,185029&lt;&gt;0),IF(100*185029/(F65-0)&lt;0.005,"*",100*185029/(F65-0)),0)</f>
        <v>3.2095229835212491</v>
      </c>
    </row>
    <row r="17" spans="1:7" x14ac:dyDescent="0.2">
      <c r="A17" s="9" t="s">
        <v>105</v>
      </c>
      <c r="B17" s="15">
        <v>29410</v>
      </c>
      <c r="C17" s="15">
        <v>4985</v>
      </c>
      <c r="D17" s="15">
        <v>22288</v>
      </c>
      <c r="E17" s="15">
        <v>27273</v>
      </c>
      <c r="F17" s="15">
        <v>28142</v>
      </c>
      <c r="G17" s="16">
        <f>IF(AND(F65&lt;&gt;0,28142&lt;&gt;0),IF(100*28142/(F65-0)&lt;0.005,"*",100*28142/(F65-0)),0)</f>
        <v>0.48815264527320035</v>
      </c>
    </row>
    <row r="18" spans="1:7" x14ac:dyDescent="0.2">
      <c r="A18" s="9" t="s">
        <v>106</v>
      </c>
      <c r="B18" s="15">
        <v>29352</v>
      </c>
      <c r="C18" s="15">
        <v>4976</v>
      </c>
      <c r="D18" s="15">
        <v>22244</v>
      </c>
      <c r="E18" s="15">
        <v>27220</v>
      </c>
      <c r="F18" s="15">
        <v>28087</v>
      </c>
      <c r="G18" s="16">
        <f>IF(AND(F65&lt;&gt;0,28087&lt;&gt;0),IF(100*28087/(F65-0)&lt;0.005,"*",100*28087/(F65-0)),0)</f>
        <v>0.48719861231569817</v>
      </c>
    </row>
    <row r="19" spans="1:7" x14ac:dyDescent="0.2">
      <c r="A19" s="9" t="s">
        <v>107</v>
      </c>
      <c r="B19" s="15">
        <v>200827</v>
      </c>
      <c r="C19" s="15">
        <v>34043</v>
      </c>
      <c r="D19" s="15">
        <v>152192</v>
      </c>
      <c r="E19" s="15">
        <v>186235</v>
      </c>
      <c r="F19" s="15">
        <v>192171</v>
      </c>
      <c r="G19" s="16">
        <f>IF(AND(F65&lt;&gt;0,192171&lt;&gt;0),IF(100*192171/(F65-0)&lt;0.005,"*",100*192171/(F65-0)),0)</f>
        <v>3.3334084995663487</v>
      </c>
    </row>
    <row r="20" spans="1:7" x14ac:dyDescent="0.2">
      <c r="A20" s="9" t="s">
        <v>108</v>
      </c>
      <c r="B20" s="15">
        <v>101769</v>
      </c>
      <c r="C20" s="15">
        <v>17251</v>
      </c>
      <c r="D20" s="15">
        <v>77123</v>
      </c>
      <c r="E20" s="15">
        <v>94374</v>
      </c>
      <c r="F20" s="15">
        <v>97382</v>
      </c>
      <c r="G20" s="16">
        <f>IF(AND(F65&lt;&gt;0,97382&lt;&gt;0),IF(100*97382/(F65-0)&lt;0.005,"*",100*97382/(F65-0)),0)</f>
        <v>1.6891934084995663</v>
      </c>
    </row>
    <row r="21" spans="1:7" x14ac:dyDescent="0.2">
      <c r="A21" s="9" t="s">
        <v>109</v>
      </c>
      <c r="B21" s="15">
        <v>39593</v>
      </c>
      <c r="C21" s="15">
        <v>6712</v>
      </c>
      <c r="D21" s="15">
        <v>30005</v>
      </c>
      <c r="E21" s="15">
        <v>36717</v>
      </c>
      <c r="F21" s="15">
        <v>37886</v>
      </c>
      <c r="G21" s="16">
        <f>IF(AND(F65&lt;&gt;0,37886&lt;&gt;0),IF(100*37886/(F65-0)&lt;0.005,"*",100*37886/(F65-0)),0)</f>
        <v>0.65717259323503907</v>
      </c>
    </row>
    <row r="22" spans="1:7" x14ac:dyDescent="0.2">
      <c r="A22" s="9" t="s">
        <v>110</v>
      </c>
      <c r="B22" s="15">
        <v>40966</v>
      </c>
      <c r="C22" s="15">
        <v>6944</v>
      </c>
      <c r="D22" s="15">
        <v>31045</v>
      </c>
      <c r="E22" s="15">
        <v>37989</v>
      </c>
      <c r="F22" s="15">
        <v>39200</v>
      </c>
      <c r="G22" s="16">
        <f>IF(AND(F65&lt;&gt;0,39200&lt;&gt;0),IF(100*39200/(F65-0)&lt;0.005,"*",100*39200/(F65-0)),0)</f>
        <v>0.67996530789245446</v>
      </c>
    </row>
    <row r="23" spans="1:7" x14ac:dyDescent="0.2">
      <c r="A23" s="9" t="s">
        <v>111</v>
      </c>
      <c r="B23" s="15">
        <v>86827</v>
      </c>
      <c r="C23" s="15">
        <v>14718</v>
      </c>
      <c r="D23" s="15">
        <v>65800</v>
      </c>
      <c r="E23" s="15">
        <v>80518</v>
      </c>
      <c r="F23" s="15">
        <v>83085</v>
      </c>
      <c r="G23" s="16">
        <f>IF(AND(F65&lt;&gt;0,83085&lt;&gt;0),IF(100*83085/(F65-0)&lt;0.005,"*",100*83085/(F65-0)),0)</f>
        <v>1.441196877710321</v>
      </c>
    </row>
    <row r="24" spans="1:7" x14ac:dyDescent="0.2">
      <c r="A24" s="9" t="s">
        <v>112</v>
      </c>
      <c r="B24" s="15">
        <v>113843</v>
      </c>
      <c r="C24" s="15">
        <v>19298</v>
      </c>
      <c r="D24" s="15">
        <v>86273</v>
      </c>
      <c r="E24" s="15">
        <v>105571</v>
      </c>
      <c r="F24" s="15">
        <v>108936</v>
      </c>
      <c r="G24" s="16">
        <f>IF(AND(F65&lt;&gt;0,108936&lt;&gt;0),IF(100*108936/(F65-0)&lt;0.005,"*",100*108936/(F65-0)),0)</f>
        <v>1.8896097137901127</v>
      </c>
    </row>
    <row r="25" spans="1:7" x14ac:dyDescent="0.2">
      <c r="A25" s="9" t="s">
        <v>113</v>
      </c>
      <c r="B25" s="15">
        <v>17883</v>
      </c>
      <c r="C25" s="15">
        <v>3031</v>
      </c>
      <c r="D25" s="15">
        <v>13552</v>
      </c>
      <c r="E25" s="15">
        <v>16583</v>
      </c>
      <c r="F25" s="15">
        <v>17112</v>
      </c>
      <c r="G25" s="16">
        <f>IF(AND(F65&lt;&gt;0,17112&lt;&gt;0),IF(100*17112/(F65-0)&lt;0.005,"*",100*17112/(F65-0)),0)</f>
        <v>0.29682567215958372</v>
      </c>
    </row>
    <row r="26" spans="1:7" x14ac:dyDescent="0.2">
      <c r="A26" s="9" t="s">
        <v>114</v>
      </c>
      <c r="B26" s="15">
        <v>104631</v>
      </c>
      <c r="C26" s="15">
        <v>17736</v>
      </c>
      <c r="D26" s="15">
        <v>79292</v>
      </c>
      <c r="E26" s="15">
        <v>97028</v>
      </c>
      <c r="F26" s="15">
        <v>100121</v>
      </c>
      <c r="G26" s="16">
        <f>IF(AND(F65&lt;&gt;0,100121&lt;&gt;0),IF(100*100121/(F65-0)&lt;0.005,"*",100*100121/(F65-0)),0)</f>
        <v>1.7367042497831744</v>
      </c>
    </row>
    <row r="27" spans="1:7" x14ac:dyDescent="0.2">
      <c r="A27" s="9" t="s">
        <v>115</v>
      </c>
      <c r="B27" s="15">
        <v>76857</v>
      </c>
      <c r="C27" s="15">
        <v>13028</v>
      </c>
      <c r="D27" s="15">
        <v>58244</v>
      </c>
      <c r="E27" s="15">
        <v>71272</v>
      </c>
      <c r="F27" s="15">
        <v>73544</v>
      </c>
      <c r="G27" s="16">
        <f>IF(AND(F65&lt;&gt;0,73544&lt;&gt;0),IF(100*73544/(F65-0)&lt;0.005,"*",100*73544/(F65-0)),0)</f>
        <v>1.2756981786643538</v>
      </c>
    </row>
    <row r="28" spans="1:7" x14ac:dyDescent="0.2">
      <c r="A28" s="9" t="s">
        <v>116</v>
      </c>
      <c r="B28" s="15">
        <v>164331</v>
      </c>
      <c r="C28" s="15">
        <v>27856</v>
      </c>
      <c r="D28" s="15">
        <v>124534</v>
      </c>
      <c r="E28" s="15">
        <v>152390</v>
      </c>
      <c r="F28" s="15">
        <v>157248</v>
      </c>
      <c r="G28" s="16">
        <f>IF(AND(F65&lt;&gt;0,157248&lt;&gt;0),IF(100*157248/(F65-0)&lt;0.005,"*",100*157248/(F65-0)),0)</f>
        <v>2.7276322636600172</v>
      </c>
    </row>
    <row r="29" spans="1:7" x14ac:dyDescent="0.2">
      <c r="A29" s="9" t="s">
        <v>117</v>
      </c>
      <c r="B29" s="15">
        <v>92976</v>
      </c>
      <c r="C29" s="15">
        <v>15761</v>
      </c>
      <c r="D29" s="15">
        <v>70460</v>
      </c>
      <c r="E29" s="15">
        <v>86221</v>
      </c>
      <c r="F29" s="15">
        <v>88968</v>
      </c>
      <c r="G29" s="16">
        <f>IF(AND(F65&lt;&gt;0,88968&lt;&gt;0),IF(100*88968/(F65-0)&lt;0.005,"*",100*88968/(F65-0)),0)</f>
        <v>1.5432437120555074</v>
      </c>
    </row>
    <row r="30" spans="1:7" x14ac:dyDescent="0.2">
      <c r="A30" s="9" t="s">
        <v>118</v>
      </c>
      <c r="B30" s="15">
        <v>74840</v>
      </c>
      <c r="C30" s="15">
        <v>12686</v>
      </c>
      <c r="D30" s="15">
        <v>56716</v>
      </c>
      <c r="E30" s="15">
        <v>69402</v>
      </c>
      <c r="F30" s="15">
        <v>71614</v>
      </c>
      <c r="G30" s="16">
        <f>IF(AND(F65&lt;&gt;0,71614&lt;&gt;0),IF(100*71614/(F65-0)&lt;0.005,"*",100*71614/(F65-0)),0)</f>
        <v>1.2422202948829142</v>
      </c>
    </row>
    <row r="31" spans="1:7" x14ac:dyDescent="0.2">
      <c r="A31" s="9" t="s">
        <v>119</v>
      </c>
      <c r="B31" s="15">
        <v>91818</v>
      </c>
      <c r="C31" s="15">
        <v>15564</v>
      </c>
      <c r="D31" s="15">
        <v>69582</v>
      </c>
      <c r="E31" s="15">
        <v>85146</v>
      </c>
      <c r="F31" s="15">
        <v>87860</v>
      </c>
      <c r="G31" s="16">
        <f>IF(AND(F65&lt;&gt;0,87860&lt;&gt;0),IF(100*87860/(F65-0)&lt;0.005,"*",100*87860/(F65-0)),0)</f>
        <v>1.5240242844752818</v>
      </c>
    </row>
    <row r="32" spans="1:7" x14ac:dyDescent="0.2">
      <c r="A32" s="9" t="s">
        <v>120</v>
      </c>
      <c r="B32" s="15">
        <v>14613</v>
      </c>
      <c r="C32" s="15">
        <v>2477</v>
      </c>
      <c r="D32" s="15">
        <v>11074</v>
      </c>
      <c r="E32" s="15">
        <v>13551</v>
      </c>
      <c r="F32" s="15">
        <v>13983</v>
      </c>
      <c r="G32" s="16">
        <f>IF(AND(F65&lt;&gt;0,13983&lt;&gt;0),IF(100*13983/(F65-0)&lt;0.005,"*",100*13983/(F65-0)),0)</f>
        <v>0.2425498699045967</v>
      </c>
    </row>
    <row r="33" spans="1:7" x14ac:dyDescent="0.2">
      <c r="A33" s="9" t="s">
        <v>121</v>
      </c>
      <c r="B33" s="15">
        <v>29420</v>
      </c>
      <c r="C33" s="15">
        <v>4987</v>
      </c>
      <c r="D33" s="15">
        <v>22295</v>
      </c>
      <c r="E33" s="15">
        <v>27282</v>
      </c>
      <c r="F33" s="15">
        <v>28152</v>
      </c>
      <c r="G33" s="16">
        <f>IF(AND(F65&lt;&gt;0,28152&lt;&gt;0),IF(100*28152/(F65-0)&lt;0.005,"*",100*28152/(F65-0)),0)</f>
        <v>0.488326105810928</v>
      </c>
    </row>
    <row r="34" spans="1:7" x14ac:dyDescent="0.2">
      <c r="A34" s="9" t="s">
        <v>122</v>
      </c>
      <c r="B34" s="15">
        <v>48766</v>
      </c>
      <c r="C34" s="15">
        <v>8267</v>
      </c>
      <c r="D34" s="15">
        <v>36956</v>
      </c>
      <c r="E34" s="15">
        <v>45223</v>
      </c>
      <c r="F34" s="15">
        <v>46664</v>
      </c>
      <c r="G34" s="16">
        <f>IF(AND(F65&lt;&gt;0,46664&lt;&gt;0),IF(100*46664/(F65-0)&lt;0.005,"*",100*46664/(F65-0)),0)</f>
        <v>0.80943625325238511</v>
      </c>
    </row>
    <row r="35" spans="1:7" x14ac:dyDescent="0.2">
      <c r="A35" s="9" t="s">
        <v>123</v>
      </c>
      <c r="B35" s="15">
        <v>9359</v>
      </c>
      <c r="C35" s="15">
        <v>1586</v>
      </c>
      <c r="D35" s="15">
        <v>7093</v>
      </c>
      <c r="E35" s="15">
        <v>8679</v>
      </c>
      <c r="F35" s="15">
        <v>8956</v>
      </c>
      <c r="G35" s="16">
        <f>IF(AND(F65&lt;&gt;0,8956&lt;&gt;0),IF(100*8956/(F65-0)&lt;0.005,"*",100*8956/(F65-0)),0)</f>
        <v>0.15535125758889853</v>
      </c>
    </row>
    <row r="36" spans="1:7" x14ac:dyDescent="0.2">
      <c r="A36" s="9" t="s">
        <v>124</v>
      </c>
      <c r="B36" s="15">
        <v>147454</v>
      </c>
      <c r="C36" s="15">
        <v>24996</v>
      </c>
      <c r="D36" s="15">
        <v>111745</v>
      </c>
      <c r="E36" s="15">
        <v>136741</v>
      </c>
      <c r="F36" s="15">
        <v>141098</v>
      </c>
      <c r="G36" s="16">
        <f>IF(AND(F65&lt;&gt;0,141098&lt;&gt;0),IF(100*141098/(F65-0)&lt;0.005,"*",100*141098/(F65-0)),0)</f>
        <v>2.4474934952298351</v>
      </c>
    </row>
    <row r="37" spans="1:7" x14ac:dyDescent="0.2">
      <c r="A37" s="9" t="s">
        <v>125</v>
      </c>
      <c r="B37" s="15">
        <v>36236</v>
      </c>
      <c r="C37" s="15">
        <v>6143</v>
      </c>
      <c r="D37" s="15">
        <v>27461</v>
      </c>
      <c r="E37" s="15">
        <v>33604</v>
      </c>
      <c r="F37" s="15">
        <v>34674</v>
      </c>
      <c r="G37" s="16">
        <f>IF(AND(F65&lt;&gt;0,34674&lt;&gt;0),IF(100*34674/(F65-0)&lt;0.005,"*",100*34674/(F65-0)),0)</f>
        <v>0.60145706851691239</v>
      </c>
    </row>
    <row r="38" spans="1:7" x14ac:dyDescent="0.2">
      <c r="A38" s="9" t="s">
        <v>126</v>
      </c>
      <c r="B38" s="15">
        <v>450731</v>
      </c>
      <c r="C38" s="15">
        <v>76405</v>
      </c>
      <c r="D38" s="15">
        <v>341576</v>
      </c>
      <c r="E38" s="15">
        <v>417981</v>
      </c>
      <c r="F38" s="15">
        <v>431303</v>
      </c>
      <c r="G38" s="16">
        <f>IF(AND(F65&lt;&gt;0,431303&lt;&gt;0),IF(100*431303/(F65-0)&lt;0.005,"*",100*431303/(F65-0)),0)</f>
        <v>7.4814050303555941</v>
      </c>
    </row>
    <row r="39" spans="1:7" x14ac:dyDescent="0.2">
      <c r="A39" s="9" t="s">
        <v>127</v>
      </c>
      <c r="B39" s="15">
        <v>180463</v>
      </c>
      <c r="C39" s="15">
        <v>30591</v>
      </c>
      <c r="D39" s="15">
        <v>136760</v>
      </c>
      <c r="E39" s="15">
        <v>167351</v>
      </c>
      <c r="F39" s="15">
        <v>172685</v>
      </c>
      <c r="G39" s="16">
        <f>IF(AND(F65&lt;&gt;0,172685&lt;&gt;0),IF(100*172685/(F65-0)&lt;0.005,"*",100*172685/(F65-0)),0)</f>
        <v>2.9954032957502168</v>
      </c>
    </row>
    <row r="40" spans="1:7" x14ac:dyDescent="0.2">
      <c r="A40" s="9" t="s">
        <v>128</v>
      </c>
      <c r="B40" s="15">
        <v>12971</v>
      </c>
      <c r="C40" s="15">
        <v>2199</v>
      </c>
      <c r="D40" s="15">
        <v>9830</v>
      </c>
      <c r="E40" s="15">
        <v>12029</v>
      </c>
      <c r="F40" s="15">
        <v>12412</v>
      </c>
      <c r="G40" s="16">
        <f>IF(AND(F65&lt;&gt;0,12412&lt;&gt;0),IF(100*12412/(F65-0)&lt;0.005,"*",100*12412/(F65-0)),0)</f>
        <v>0.21529921942758024</v>
      </c>
    </row>
    <row r="41" spans="1:7" x14ac:dyDescent="0.2">
      <c r="A41" s="9" t="s">
        <v>129</v>
      </c>
      <c r="B41" s="15">
        <v>151684</v>
      </c>
      <c r="C41" s="15">
        <v>25713</v>
      </c>
      <c r="D41" s="15">
        <v>114950</v>
      </c>
      <c r="E41" s="15">
        <v>140663</v>
      </c>
      <c r="F41" s="15">
        <v>145146</v>
      </c>
      <c r="G41" s="16">
        <f>IF(AND(F65&lt;&gt;0,145146&lt;&gt;0),IF(100*145146/(F65-0)&lt;0.005,"*",100*145146/(F65-0)),0)</f>
        <v>2.5177103209019949</v>
      </c>
    </row>
    <row r="42" spans="1:7" x14ac:dyDescent="0.2">
      <c r="A42" s="9" t="s">
        <v>130</v>
      </c>
      <c r="B42" s="15">
        <v>55888</v>
      </c>
      <c r="C42" s="15">
        <v>9474</v>
      </c>
      <c r="D42" s="15">
        <v>42353</v>
      </c>
      <c r="E42" s="15">
        <v>51827</v>
      </c>
      <c r="F42" s="15">
        <v>53479</v>
      </c>
      <c r="G42" s="16">
        <f>IF(AND(F65&lt;&gt;0,53479&lt;&gt;0),IF(100*53479/(F65-0)&lt;0.005,"*",100*53479/(F65-0)),0)</f>
        <v>0.92764960971379007</v>
      </c>
    </row>
    <row r="43" spans="1:7" x14ac:dyDescent="0.2">
      <c r="A43" s="9" t="s">
        <v>131</v>
      </c>
      <c r="B43" s="15">
        <v>70328</v>
      </c>
      <c r="C43" s="15">
        <v>11922</v>
      </c>
      <c r="D43" s="15">
        <v>53296</v>
      </c>
      <c r="E43" s="15">
        <v>65218</v>
      </c>
      <c r="F43" s="15">
        <v>67297</v>
      </c>
      <c r="G43" s="16">
        <f>IF(AND(F65&lt;&gt;0,67297&lt;&gt;0),IF(100*67297/(F65-0)&lt;0.005,"*",100*67297/(F65-0)),0)</f>
        <v>1.1673373807458802</v>
      </c>
    </row>
    <row r="44" spans="1:7" x14ac:dyDescent="0.2">
      <c r="A44" s="9" t="s">
        <v>132</v>
      </c>
      <c r="B44" s="15">
        <v>181187</v>
      </c>
      <c r="C44" s="15">
        <v>30714</v>
      </c>
      <c r="D44" s="15">
        <v>137308</v>
      </c>
      <c r="E44" s="15">
        <v>168022</v>
      </c>
      <c r="F44" s="15">
        <v>173377</v>
      </c>
      <c r="G44" s="16">
        <f>IF(AND(F65&lt;&gt;0,173377&lt;&gt;0),IF(100*173377/(F65-0)&lt;0.005,"*",100*173377/(F65-0)),0)</f>
        <v>3.0074067649609715</v>
      </c>
    </row>
    <row r="45" spans="1:7" x14ac:dyDescent="0.2">
      <c r="A45" s="9" t="s">
        <v>133</v>
      </c>
      <c r="B45" s="15">
        <v>16981</v>
      </c>
      <c r="C45" s="15">
        <v>2879</v>
      </c>
      <c r="D45" s="15">
        <v>12869</v>
      </c>
      <c r="E45" s="15">
        <v>15748</v>
      </c>
      <c r="F45" s="15">
        <v>16249</v>
      </c>
      <c r="G45" s="16">
        <f>IF(AND(F65&lt;&gt;0,16249&lt;&gt;0),IF(100*16249/(F65-0)&lt;0.005,"*",100*16249/(F65-0)),0)</f>
        <v>0.28185602775368601</v>
      </c>
    </row>
    <row r="46" spans="1:7" x14ac:dyDescent="0.2">
      <c r="A46" s="9" t="s">
        <v>134</v>
      </c>
      <c r="B46" s="15">
        <v>84650</v>
      </c>
      <c r="C46" s="15">
        <v>14349</v>
      </c>
      <c r="D46" s="15">
        <v>64150</v>
      </c>
      <c r="E46" s="15">
        <v>78499</v>
      </c>
      <c r="F46" s="15">
        <v>81001</v>
      </c>
      <c r="G46" s="16">
        <f>IF(AND(F65&lt;&gt;0,81001&lt;&gt;0),IF(100*81001/(F65-0)&lt;0.005,"*",100*81001/(F65-0)),0)</f>
        <v>1.4050477016478751</v>
      </c>
    </row>
    <row r="47" spans="1:7" x14ac:dyDescent="0.2">
      <c r="A47" s="9" t="s">
        <v>135</v>
      </c>
      <c r="B47" s="15">
        <v>16218</v>
      </c>
      <c r="C47" s="15">
        <v>2749</v>
      </c>
      <c r="D47" s="15">
        <v>12290</v>
      </c>
      <c r="E47" s="15">
        <v>15039</v>
      </c>
      <c r="F47" s="15">
        <v>15519</v>
      </c>
      <c r="G47" s="16">
        <f>IF(AND(F65&lt;&gt;0,15519&lt;&gt;0),IF(100*15519/(F65-0)&lt;0.005,"*",100*15519/(F65-0)),0)</f>
        <v>0.26919340849956636</v>
      </c>
    </row>
    <row r="48" spans="1:7" x14ac:dyDescent="0.2">
      <c r="A48" s="9" t="s">
        <v>136</v>
      </c>
      <c r="B48" s="15">
        <v>114389</v>
      </c>
      <c r="C48" s="15">
        <v>19391</v>
      </c>
      <c r="D48" s="15">
        <v>86687</v>
      </c>
      <c r="E48" s="15">
        <v>106078</v>
      </c>
      <c r="F48" s="15">
        <v>109458</v>
      </c>
      <c r="G48" s="16">
        <f>IF(AND(F65&lt;&gt;0,109458&lt;&gt;0),IF(100*109458/(F65-0)&lt;0.005,"*",100*109458/(F65-0)),0)</f>
        <v>1.8986643538594969</v>
      </c>
    </row>
    <row r="49" spans="1:7" x14ac:dyDescent="0.2">
      <c r="A49" s="9" t="s">
        <v>137</v>
      </c>
      <c r="B49" s="15">
        <v>511128</v>
      </c>
      <c r="C49" s="15">
        <v>86644</v>
      </c>
      <c r="D49" s="15">
        <v>387347</v>
      </c>
      <c r="E49" s="15">
        <v>473991</v>
      </c>
      <c r="F49" s="15">
        <v>489097</v>
      </c>
      <c r="G49" s="16">
        <f>IF(AND(F65&lt;&gt;0,489097&lt;&gt;0),IF(100*489097/(F65-0)&lt;0.005,"*",100*489097/(F65-0)),0)</f>
        <v>8.4839028620988728</v>
      </c>
    </row>
    <row r="50" spans="1:7" x14ac:dyDescent="0.2">
      <c r="A50" s="9" t="s">
        <v>138</v>
      </c>
      <c r="B50" s="15">
        <v>43266</v>
      </c>
      <c r="C50" s="15">
        <v>7334</v>
      </c>
      <c r="D50" s="15">
        <v>32788</v>
      </c>
      <c r="E50" s="15">
        <v>40122</v>
      </c>
      <c r="F50" s="15">
        <v>41401</v>
      </c>
      <c r="G50" s="16">
        <f>IF(AND(F65&lt;&gt;0,41401&lt;&gt;0),IF(100*41401/(F65-0)&lt;0.005,"*",100*41401/(F65-0)),0)</f>
        <v>0.71814397224631399</v>
      </c>
    </row>
    <row r="51" spans="1:7" x14ac:dyDescent="0.2">
      <c r="A51" s="9" t="s">
        <v>139</v>
      </c>
      <c r="B51" s="15">
        <v>12425</v>
      </c>
      <c r="C51" s="15">
        <v>2106</v>
      </c>
      <c r="D51" s="15">
        <v>9416</v>
      </c>
      <c r="E51" s="15">
        <v>11522</v>
      </c>
      <c r="F51" s="15">
        <v>11889</v>
      </c>
      <c r="G51" s="16">
        <f>IF(AND(F65&lt;&gt;0,11889&lt;&gt;0),IF(100*11889/(F65-0)&lt;0.005,"*",100*11889/(F65-0)),0)</f>
        <v>0.20622723330442325</v>
      </c>
    </row>
    <row r="52" spans="1:7" x14ac:dyDescent="0.2">
      <c r="A52" s="9" t="s">
        <v>140</v>
      </c>
      <c r="B52" s="15">
        <v>102783</v>
      </c>
      <c r="C52" s="15">
        <v>17423</v>
      </c>
      <c r="D52" s="15">
        <v>77892</v>
      </c>
      <c r="E52" s="15">
        <v>95315</v>
      </c>
      <c r="F52" s="15">
        <v>98353</v>
      </c>
      <c r="G52" s="16">
        <f>IF(AND(F65&lt;&gt;0,98353&lt;&gt;0),IF(100*98353/(F65-0)&lt;0.005,"*",100*98353/(F65-0)),0)</f>
        <v>1.7060364267129229</v>
      </c>
    </row>
    <row r="53" spans="1:7" x14ac:dyDescent="0.2">
      <c r="A53" s="9" t="s">
        <v>141</v>
      </c>
      <c r="B53" s="15">
        <v>126441</v>
      </c>
      <c r="C53" s="15">
        <v>21434</v>
      </c>
      <c r="D53" s="15">
        <v>95820</v>
      </c>
      <c r="E53" s="15">
        <v>117254</v>
      </c>
      <c r="F53" s="15">
        <v>120991</v>
      </c>
      <c r="G53" s="16">
        <f>IF(AND(F65&lt;&gt;0,120991&lt;&gt;0),IF(100*120991/(F65-0)&lt;0.005,"*",100*120991/(F65-0)),0)</f>
        <v>2.0987163920208154</v>
      </c>
    </row>
    <row r="54" spans="1:7" x14ac:dyDescent="0.2">
      <c r="A54" s="9" t="s">
        <v>142</v>
      </c>
      <c r="B54" s="15">
        <v>33527</v>
      </c>
      <c r="C54" s="15">
        <v>5683</v>
      </c>
      <c r="D54" s="15">
        <v>25408</v>
      </c>
      <c r="E54" s="15">
        <v>31091</v>
      </c>
      <c r="F54" s="15">
        <v>32082</v>
      </c>
      <c r="G54" s="16">
        <f>IF(AND(F65&lt;&gt;0,32082&lt;&gt;0),IF(100*32082/(F65-0)&lt;0.005,"*",100*32082/(F65-0)),0)</f>
        <v>0.55649609713790116</v>
      </c>
    </row>
    <row r="55" spans="1:7" x14ac:dyDescent="0.2">
      <c r="A55" s="9" t="s">
        <v>143</v>
      </c>
      <c r="B55" s="15">
        <v>81053</v>
      </c>
      <c r="C55" s="15">
        <v>13740</v>
      </c>
      <c r="D55" s="15">
        <v>61424</v>
      </c>
      <c r="E55" s="15">
        <v>75164</v>
      </c>
      <c r="F55" s="15">
        <v>77559</v>
      </c>
      <c r="G55" s="16">
        <f>IF(AND(F65&lt;&gt;0,77559&lt;&gt;0),IF(100*77559/(F65-0)&lt;0.005,"*",100*77559/(F65-0)),0)</f>
        <v>1.3453425845620122</v>
      </c>
    </row>
    <row r="56" spans="1:7" x14ac:dyDescent="0.2">
      <c r="A56" s="9" t="s">
        <v>144</v>
      </c>
      <c r="B56" s="15">
        <v>7806</v>
      </c>
      <c r="C56" s="15">
        <v>1323</v>
      </c>
      <c r="D56" s="15">
        <v>5916</v>
      </c>
      <c r="E56" s="15">
        <v>7239</v>
      </c>
      <c r="F56" s="15">
        <v>7470</v>
      </c>
      <c r="G56" s="16">
        <f>IF(AND(F65&lt;&gt;0,7470&lt;&gt;0),IF(100*7470/(F65-0)&lt;0.005,"*",100*7470/(F65-0)),0)</f>
        <v>0.12957502168256721</v>
      </c>
    </row>
    <row r="57" spans="1:7" x14ac:dyDescent="0.2">
      <c r="A57" s="9" t="s">
        <v>145</v>
      </c>
      <c r="B57" s="15">
        <v>7206</v>
      </c>
      <c r="C57" s="15">
        <v>1222</v>
      </c>
      <c r="D57" s="15">
        <v>5461</v>
      </c>
      <c r="E57" s="15">
        <v>6683</v>
      </c>
      <c r="F57" s="15">
        <v>6895</v>
      </c>
      <c r="G57" s="16">
        <f>IF(AND(F65&lt;&gt;0,6895&lt;&gt;0),IF(100*6895/(F65-0)&lt;0.005,"*",100*6895/(F65-0)),0)</f>
        <v>0.11960104076322636</v>
      </c>
    </row>
    <row r="58" spans="1:7" x14ac:dyDescent="0.2">
      <c r="A58" s="9" t="s">
        <v>146</v>
      </c>
      <c r="B58" s="15">
        <v>9606</v>
      </c>
      <c r="C58" s="15">
        <v>1628</v>
      </c>
      <c r="D58" s="15">
        <v>7280</v>
      </c>
      <c r="E58" s="15">
        <v>8908</v>
      </c>
      <c r="F58" s="15">
        <v>9192</v>
      </c>
      <c r="G58" s="16">
        <f>IF(AND(F65&lt;&gt;0,9192&lt;&gt;0),IF(100*9192/(F65-0)&lt;0.005,"*",100*9192/(F65-0)),0)</f>
        <v>0.15944492627927145</v>
      </c>
    </row>
    <row r="59" spans="1:7" x14ac:dyDescent="0.2">
      <c r="A59" s="9" t="s">
        <v>147</v>
      </c>
      <c r="B59" s="15">
        <v>4610</v>
      </c>
      <c r="C59" s="15">
        <v>781</v>
      </c>
      <c r="D59" s="15">
        <v>3494</v>
      </c>
      <c r="E59" s="15">
        <v>4275</v>
      </c>
      <c r="F59" s="15">
        <v>4411</v>
      </c>
      <c r="G59" s="16">
        <f>IF(AND(F65&lt;&gt;0,4411&lt;&gt;0),IF(100*4411/(F65-0)&lt;0.005,"*",100*4411/(F65-0)),0)</f>
        <v>7.6513443191673899E-2</v>
      </c>
    </row>
    <row r="60" spans="1:7" x14ac:dyDescent="0.2">
      <c r="A60" s="9" t="s">
        <v>148</v>
      </c>
      <c r="B60" s="15">
        <v>196664</v>
      </c>
      <c r="C60" s="15">
        <v>33337</v>
      </c>
      <c r="D60" s="15">
        <v>149037</v>
      </c>
      <c r="E60" s="15">
        <v>182374</v>
      </c>
      <c r="F60" s="15">
        <v>188187</v>
      </c>
      <c r="G60" s="16">
        <f>IF(AND(F65&lt;&gt;0,188187&lt;&gt;0),IF(100*188187/(F65-0)&lt;0.005,"*",100*188187/(F65-0)),0)</f>
        <v>3.2643018213356463</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6316</v>
      </c>
      <c r="C62" s="15">
        <v>1071</v>
      </c>
      <c r="D62" s="15">
        <v>4786</v>
      </c>
      <c r="E62" s="15">
        <v>5857</v>
      </c>
      <c r="F62" s="15">
        <v>6044</v>
      </c>
      <c r="G62" s="16">
        <f>IF(AND(F65&lt;&gt;0,6044&lt;&gt;0),IF(100*6044/(F65-0)&lt;0.005,"*",100*6044/(F65-0)),0)</f>
        <v>0.10483954900260191</v>
      </c>
    </row>
    <row r="63" spans="1:7" x14ac:dyDescent="0.2">
      <c r="A63" s="9" t="s">
        <v>151</v>
      </c>
      <c r="B63" s="15">
        <v>59661</v>
      </c>
      <c r="C63" s="15">
        <v>10113</v>
      </c>
      <c r="D63" s="15">
        <v>45213</v>
      </c>
      <c r="E63" s="15">
        <v>55326</v>
      </c>
      <c r="F63" s="15">
        <v>57089</v>
      </c>
      <c r="G63" s="16">
        <f>IF(AND(F65&lt;&gt;0,57089&lt;&gt;0),IF(100*57089/(F65-0)&lt;0.005,"*",100*57089/(F65-0)),0)</f>
        <v>0.9902688638334779</v>
      </c>
    </row>
    <row r="64" spans="1:7" x14ac:dyDescent="0.2">
      <c r="A64" s="9" t="s">
        <v>152</v>
      </c>
      <c r="B64" s="15">
        <v>14315</v>
      </c>
      <c r="C64" s="15">
        <v>0</v>
      </c>
      <c r="D64" s="15">
        <v>0</v>
      </c>
      <c r="E64" s="15">
        <v>0</v>
      </c>
      <c r="F64" s="15">
        <v>0</v>
      </c>
      <c r="G64" s="16">
        <v>0</v>
      </c>
    </row>
    <row r="65" spans="1:7" ht="15" customHeight="1" x14ac:dyDescent="0.2">
      <c r="A65" s="17" t="s">
        <v>93</v>
      </c>
      <c r="B65" s="18">
        <f>101634+19990+112669+63026+953185+64601+42256+14531+13210+356466+193364+29410+29352+200827+101769+39593+40966+86827+113843+17883+104631+76857+164331+92976+74840+91818+14613+29420+48766+9359+147454+36236+450731+180463+12971+151684+55888+70328+181187+16981+84650+16218+114389+511128+43266+12425+102783+126441+33527+81053+7806+7206+9606+4610+196664+0+6316+59661+14315+0</f>
        <v>6039000</v>
      </c>
      <c r="C65" s="18">
        <f>17228+3389+19099+10684+161578+10951+7163+2463+2239+60426+32778+4985+4976+34043+17251+6712+6944+14718+19298+3031+17736+13028+27856+15761+12686+15564+2477+4987+8267+1586+24996+6143+76405+30591+2199+25713+9474+11922+30714+2879+14349+2749+19391+86644+7334+2106+17423+21434+5683+13740+1323+1222+1628+781+33337+0+1071+10113+0+0</f>
        <v>1021268</v>
      </c>
      <c r="D65" s="18">
        <f>77021+15149+85384+47763+722350+48956+32023+11012+10011+270140+146536+22288+22244+152192+77123+30005+31045+65800+86273+13552+79292+58244+124534+70460+56716+69582+11074+22295+36956+7093+111745+27461+341576+136760+9830+114950+42353+53296+137308+12869+64150+12290+86687+387347+32788+9416+77892+95820+25408+61424+5916+5461+7280+3494+149037+0+4786+45213+0+0</f>
        <v>4565670</v>
      </c>
      <c r="E65" s="18">
        <f>SUM(C65:D65)</f>
        <v>5586938</v>
      </c>
      <c r="F65" s="18">
        <f>97253+19128+107813+60309+912100+61817+40435+13905+12641+341101+185029+28142+28087+192171+97382+37886+39200+83085+108936+17112+100121+73544+157248+88968+71614+87860+13983+28152+46664+8956+141098+34674+431303+172685+12412+145146+53479+67297+173377+16249+81001+15519+109458+489097+41401+11889+98353+120991+32082+77559+7470+6895+9192+4411+188187+0+6044+57089+0+0</f>
        <v>5765000</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82</v>
      </c>
      <c r="B1" s="8"/>
      <c r="C1" s="8"/>
      <c r="D1" s="8"/>
      <c r="E1" s="8"/>
      <c r="F1" s="8"/>
      <c r="G1" s="10" t="s">
        <v>83</v>
      </c>
    </row>
    <row r="2" spans="1:7" x14ac:dyDescent="0.2">
      <c r="A2" s="11" t="s">
        <v>159</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57550</v>
      </c>
      <c r="C6" s="15">
        <v>0</v>
      </c>
      <c r="D6" s="15">
        <v>63176</v>
      </c>
      <c r="E6" s="15">
        <v>63176</v>
      </c>
      <c r="F6" s="15">
        <v>64000</v>
      </c>
      <c r="G6" s="16">
        <f>IF(AND(F65&lt;&gt;0,64000&lt;&gt;0),IF(100*64000/(F65-0)&lt;0.005,"*",100*64000/(F65-0)),0)</f>
        <v>1.6668077376340444</v>
      </c>
    </row>
    <row r="7" spans="1:7" x14ac:dyDescent="0.2">
      <c r="A7" s="9" t="s">
        <v>95</v>
      </c>
      <c r="B7" s="15">
        <v>9199</v>
      </c>
      <c r="C7" s="15">
        <v>0</v>
      </c>
      <c r="D7" s="15">
        <v>10098</v>
      </c>
      <c r="E7" s="15">
        <v>10098</v>
      </c>
      <c r="F7" s="15">
        <v>10230</v>
      </c>
      <c r="G7" s="16">
        <f>IF(AND(F65&lt;&gt;0,10230&lt;&gt;0),IF(100*10230/(F65-0)&lt;0.005,"*",100*10230/(F65-0)),0)</f>
        <v>0.26642879931244179</v>
      </c>
    </row>
    <row r="8" spans="1:7" x14ac:dyDescent="0.2">
      <c r="A8" s="9" t="s">
        <v>96</v>
      </c>
      <c r="B8" s="15">
        <v>52512</v>
      </c>
      <c r="C8" s="15">
        <v>0</v>
      </c>
      <c r="D8" s="15">
        <v>57645</v>
      </c>
      <c r="E8" s="15">
        <v>57645</v>
      </c>
      <c r="F8" s="15">
        <v>58398</v>
      </c>
      <c r="G8" s="16">
        <f>IF(AND(F65&lt;&gt;0,58398&lt;&gt;0),IF(100*58398/(F65-0)&lt;0.005,"*",100*58398/(F65-0)),0)</f>
        <v>1.5209099728492645</v>
      </c>
    </row>
    <row r="9" spans="1:7" x14ac:dyDescent="0.2">
      <c r="A9" s="9" t="s">
        <v>97</v>
      </c>
      <c r="B9" s="15">
        <v>51422</v>
      </c>
      <c r="C9" s="15">
        <v>0</v>
      </c>
      <c r="D9" s="15">
        <v>56449</v>
      </c>
      <c r="E9" s="15">
        <v>56449</v>
      </c>
      <c r="F9" s="15">
        <v>57186</v>
      </c>
      <c r="G9" s="16">
        <f>IF(AND(F65&lt;&gt;0,57186&lt;&gt;0),IF(100*57186/(F65-0)&lt;0.005,"*",100*57186/(F65-0)),0)</f>
        <v>1.4893448013178199</v>
      </c>
    </row>
    <row r="10" spans="1:7" x14ac:dyDescent="0.2">
      <c r="A10" s="9" t="s">
        <v>98</v>
      </c>
      <c r="B10" s="15">
        <v>460651</v>
      </c>
      <c r="C10" s="15">
        <v>0</v>
      </c>
      <c r="D10" s="15">
        <v>505681</v>
      </c>
      <c r="E10" s="15">
        <v>505681</v>
      </c>
      <c r="F10" s="15">
        <v>512282</v>
      </c>
      <c r="G10" s="16">
        <f>IF(AND(F65&lt;&gt;0,512282&lt;&gt;0),IF(100*512282/(F65-0)&lt;0.005,"*",100*512282/(F65-0)),0)</f>
        <v>13.341806272666306</v>
      </c>
    </row>
    <row r="11" spans="1:7" x14ac:dyDescent="0.2">
      <c r="A11" s="9" t="s">
        <v>99</v>
      </c>
      <c r="B11" s="15">
        <v>26594</v>
      </c>
      <c r="C11" s="15">
        <v>0</v>
      </c>
      <c r="D11" s="15">
        <v>29194</v>
      </c>
      <c r="E11" s="15">
        <v>29194</v>
      </c>
      <c r="F11" s="15">
        <v>29575</v>
      </c>
      <c r="G11" s="16">
        <f>IF(AND(F65&lt;&gt;0,29575&lt;&gt;0),IF(100*29575/(F65-0)&lt;0.005,"*",100*29575/(F65-0)),0)</f>
        <v>0.77024748188323233</v>
      </c>
    </row>
    <row r="12" spans="1:7" x14ac:dyDescent="0.2">
      <c r="A12" s="9" t="s">
        <v>100</v>
      </c>
      <c r="B12" s="15">
        <v>18417</v>
      </c>
      <c r="C12" s="15">
        <v>0</v>
      </c>
      <c r="D12" s="15">
        <v>20217</v>
      </c>
      <c r="E12" s="15">
        <v>20217</v>
      </c>
      <c r="F12" s="15">
        <v>20481</v>
      </c>
      <c r="G12" s="16">
        <f>IF(AND(F65&lt;&gt;0,20481&lt;&gt;0),IF(100*20481/(F65-0)&lt;0.005,"*",100*20481/(F65-0)),0)</f>
        <v>0.53340451991379478</v>
      </c>
    </row>
    <row r="13" spans="1:7" x14ac:dyDescent="0.2">
      <c r="A13" s="9" t="s">
        <v>101</v>
      </c>
      <c r="B13" s="15">
        <v>18101</v>
      </c>
      <c r="C13" s="15">
        <v>0</v>
      </c>
      <c r="D13" s="15">
        <v>19870</v>
      </c>
      <c r="E13" s="15">
        <v>19870</v>
      </c>
      <c r="F13" s="15">
        <v>20130</v>
      </c>
      <c r="G13" s="16">
        <f>IF(AND(F65&lt;&gt;0,20130&lt;&gt;0),IF(100*20130/(F65-0)&lt;0.005,"*",100*20130/(F65-0)),0)</f>
        <v>0.52426312122770813</v>
      </c>
    </row>
    <row r="14" spans="1:7" x14ac:dyDescent="0.2">
      <c r="A14" s="9" t="s">
        <v>102</v>
      </c>
      <c r="B14" s="15">
        <v>9881</v>
      </c>
      <c r="C14" s="15">
        <v>0</v>
      </c>
      <c r="D14" s="15">
        <v>10847</v>
      </c>
      <c r="E14" s="15">
        <v>10847</v>
      </c>
      <c r="F14" s="15">
        <v>10988</v>
      </c>
      <c r="G14" s="16">
        <f>IF(AND(F65&lt;&gt;0,10988&lt;&gt;0),IF(100*10988/(F65-0)&lt;0.005,"*",100*10988/(F65-0)),0)</f>
        <v>0.28617005345504504</v>
      </c>
    </row>
    <row r="15" spans="1:7" x14ac:dyDescent="0.2">
      <c r="A15" s="9" t="s">
        <v>103</v>
      </c>
      <c r="B15" s="15">
        <v>275577</v>
      </c>
      <c r="C15" s="15">
        <v>0</v>
      </c>
      <c r="D15" s="15">
        <v>302515</v>
      </c>
      <c r="E15" s="15">
        <v>302515</v>
      </c>
      <c r="F15" s="15">
        <v>306464</v>
      </c>
      <c r="G15" s="16">
        <f>IF(AND(F65&lt;&gt;0,306464&lt;&gt;0),IF(100*306464/(F65-0)&lt;0.005,"*",100*306464/(F65-0)),0)</f>
        <v>7.9815088516606227</v>
      </c>
    </row>
    <row r="16" spans="1:7" x14ac:dyDescent="0.2">
      <c r="A16" s="9" t="s">
        <v>104</v>
      </c>
      <c r="B16" s="15">
        <v>114328</v>
      </c>
      <c r="C16" s="15">
        <v>0</v>
      </c>
      <c r="D16" s="15">
        <v>125504</v>
      </c>
      <c r="E16" s="15">
        <v>125504</v>
      </c>
      <c r="F16" s="15">
        <v>127142</v>
      </c>
      <c r="G16" s="16">
        <f>IF(AND(F65&lt;&gt;0,127142&lt;&gt;0),IF(100*127142/(F65-0)&lt;0.005,"*",100*127142/(F65-0)),0)</f>
        <v>3.3112698340354325</v>
      </c>
    </row>
    <row r="17" spans="1:7" x14ac:dyDescent="0.2">
      <c r="A17" s="9" t="s">
        <v>105</v>
      </c>
      <c r="B17" s="15">
        <v>6715</v>
      </c>
      <c r="C17" s="15">
        <v>0</v>
      </c>
      <c r="D17" s="15">
        <v>7371</v>
      </c>
      <c r="E17" s="15">
        <v>7371</v>
      </c>
      <c r="F17" s="15">
        <v>7468</v>
      </c>
      <c r="G17" s="16">
        <f>IF(AND(F65&lt;&gt;0,7468&lt;&gt;0),IF(100*7468/(F65-0)&lt;0.005,"*",100*7468/(F65-0)),0)</f>
        <v>0.19449562788517258</v>
      </c>
    </row>
    <row r="18" spans="1:7" x14ac:dyDescent="0.2">
      <c r="A18" s="9" t="s">
        <v>106</v>
      </c>
      <c r="B18" s="15">
        <v>7984</v>
      </c>
      <c r="C18" s="15">
        <v>0</v>
      </c>
      <c r="D18" s="15">
        <v>8764</v>
      </c>
      <c r="E18" s="15">
        <v>8764</v>
      </c>
      <c r="F18" s="15">
        <v>8879</v>
      </c>
      <c r="G18" s="16">
        <f>IF(AND(F65&lt;&gt;0,8879&lt;&gt;0),IF(100*8879/(F65-0)&lt;0.005,"*",100*8879/(F65-0)),0)</f>
        <v>0.23124352972582315</v>
      </c>
    </row>
    <row r="19" spans="1:7" x14ac:dyDescent="0.2">
      <c r="A19" s="9" t="s">
        <v>107</v>
      </c>
      <c r="B19" s="15">
        <v>145085</v>
      </c>
      <c r="C19" s="15">
        <v>0</v>
      </c>
      <c r="D19" s="15">
        <v>159268</v>
      </c>
      <c r="E19" s="15">
        <v>159268</v>
      </c>
      <c r="F19" s="15">
        <v>161347</v>
      </c>
      <c r="G19" s="16">
        <f>IF(AND(F65&lt;&gt;0,161347&lt;&gt;0),IF(100*161347/(F65-0)&lt;0.005,"*",100*161347/(F65-0)),0)</f>
        <v>4.2021004381881282</v>
      </c>
    </row>
    <row r="20" spans="1:7" x14ac:dyDescent="0.2">
      <c r="A20" s="9" t="s">
        <v>108</v>
      </c>
      <c r="B20" s="15">
        <v>56759</v>
      </c>
      <c r="C20" s="15">
        <v>0</v>
      </c>
      <c r="D20" s="15">
        <v>62307</v>
      </c>
      <c r="E20" s="15">
        <v>62307</v>
      </c>
      <c r="F20" s="15">
        <v>63121</v>
      </c>
      <c r="G20" s="16">
        <f>IF(AND(F65&lt;&gt;0,63121&lt;&gt;0),IF(100*63121/(F65-0)&lt;0.005,"*",100*63121/(F65-0)),0)</f>
        <v>1.643915175112477</v>
      </c>
    </row>
    <row r="21" spans="1:7" x14ac:dyDescent="0.2">
      <c r="A21" s="9" t="s">
        <v>109</v>
      </c>
      <c r="B21" s="15">
        <v>27612</v>
      </c>
      <c r="C21" s="15">
        <v>0</v>
      </c>
      <c r="D21" s="15">
        <v>30311</v>
      </c>
      <c r="E21" s="15">
        <v>30311</v>
      </c>
      <c r="F21" s="15">
        <v>30707</v>
      </c>
      <c r="G21" s="16">
        <f>IF(AND(F65&lt;&gt;0,30707&lt;&gt;0),IF(100*30707/(F65-0)&lt;0.005,"*",100*30707/(F65-0)),0)</f>
        <v>0.79972914374263449</v>
      </c>
    </row>
    <row r="22" spans="1:7" x14ac:dyDescent="0.2">
      <c r="A22" s="9" t="s">
        <v>110</v>
      </c>
      <c r="B22" s="15">
        <v>31591</v>
      </c>
      <c r="C22" s="15">
        <v>0</v>
      </c>
      <c r="D22" s="15">
        <v>34679</v>
      </c>
      <c r="E22" s="15">
        <v>34679</v>
      </c>
      <c r="F22" s="15">
        <v>35132</v>
      </c>
      <c r="G22" s="16">
        <f>IF(AND(F65&lt;&gt;0,35132&lt;&gt;0),IF(100*35132/(F65-0)&lt;0.005,"*",100*35132/(F65-0)),0)</f>
        <v>0.91497327247748828</v>
      </c>
    </row>
    <row r="23" spans="1:7" x14ac:dyDescent="0.2">
      <c r="A23" s="9" t="s">
        <v>111</v>
      </c>
      <c r="B23" s="15">
        <v>42871</v>
      </c>
      <c r="C23" s="15">
        <v>0</v>
      </c>
      <c r="D23" s="15">
        <v>47062</v>
      </c>
      <c r="E23" s="15">
        <v>47062</v>
      </c>
      <c r="F23" s="15">
        <v>47676</v>
      </c>
      <c r="G23" s="16">
        <f>IF(AND(F65&lt;&gt;0,47676&lt;&gt;0),IF(100*47676/(F65-0)&lt;0.005,"*",100*47676/(F65-0)),0)</f>
        <v>1.241667589053761</v>
      </c>
    </row>
    <row r="24" spans="1:7" x14ac:dyDescent="0.2">
      <c r="A24" s="9" t="s">
        <v>112</v>
      </c>
      <c r="B24" s="15">
        <v>97137</v>
      </c>
      <c r="C24" s="15">
        <v>0</v>
      </c>
      <c r="D24" s="15">
        <v>106632</v>
      </c>
      <c r="E24" s="15">
        <v>106632</v>
      </c>
      <c r="F24" s="15">
        <v>108024</v>
      </c>
      <c r="G24" s="16">
        <f>IF(AND(F65&lt;&gt;0,108024&lt;&gt;0),IF(100*108024/(F65-0)&lt;0.005,"*",100*108024/(F65-0)),0)</f>
        <v>2.813363110159063</v>
      </c>
    </row>
    <row r="25" spans="1:7" x14ac:dyDescent="0.2">
      <c r="A25" s="9" t="s">
        <v>113</v>
      </c>
      <c r="B25" s="15">
        <v>9446</v>
      </c>
      <c r="C25" s="15">
        <v>0</v>
      </c>
      <c r="D25" s="15">
        <v>10369</v>
      </c>
      <c r="E25" s="15">
        <v>10369</v>
      </c>
      <c r="F25" s="15">
        <v>10505</v>
      </c>
      <c r="G25" s="16">
        <f>IF(AND(F65&lt;&gt;0,10505&lt;&gt;0),IF(100*10505/(F65-0)&lt;0.005,"*",100*10505/(F65-0)),0)</f>
        <v>0.27359086381008807</v>
      </c>
    </row>
    <row r="26" spans="1:7" x14ac:dyDescent="0.2">
      <c r="A26" s="9" t="s">
        <v>114</v>
      </c>
      <c r="B26" s="15">
        <v>52751</v>
      </c>
      <c r="C26" s="15">
        <v>0</v>
      </c>
      <c r="D26" s="15">
        <v>57908</v>
      </c>
      <c r="E26" s="15">
        <v>57908</v>
      </c>
      <c r="F26" s="15">
        <v>58663</v>
      </c>
      <c r="G26" s="16">
        <f>IF(AND(F65&lt;&gt;0,58663&lt;&gt;0),IF(100*58663/(F65-0)&lt;0.005,"*",100*58663/(F65-0)),0)</f>
        <v>1.5278115986379055</v>
      </c>
    </row>
    <row r="27" spans="1:7" x14ac:dyDescent="0.2">
      <c r="A27" s="9" t="s">
        <v>115</v>
      </c>
      <c r="B27" s="15">
        <v>65617</v>
      </c>
      <c r="C27" s="15">
        <v>0</v>
      </c>
      <c r="D27" s="15">
        <v>72031</v>
      </c>
      <c r="E27" s="15">
        <v>72031</v>
      </c>
      <c r="F27" s="15">
        <v>72972</v>
      </c>
      <c r="G27" s="16">
        <f>IF(AND(F65&lt;&gt;0,72972&lt;&gt;0),IF(100*72972/(F65-0)&lt;0.005,"*",100*72972/(F65-0)),0)</f>
        <v>1.9004733473536171</v>
      </c>
    </row>
    <row r="28" spans="1:7" x14ac:dyDescent="0.2">
      <c r="A28" s="9" t="s">
        <v>116</v>
      </c>
      <c r="B28" s="15">
        <v>70259</v>
      </c>
      <c r="C28" s="15">
        <v>0</v>
      </c>
      <c r="D28" s="15">
        <v>77127</v>
      </c>
      <c r="E28" s="15">
        <v>77127</v>
      </c>
      <c r="F28" s="15">
        <v>78134</v>
      </c>
      <c r="G28" s="16">
        <f>IF(AND(F65&lt;&gt;0,78134&lt;&gt;0),IF(100*78134/(F65-0)&lt;0.005,"*",100*78134/(F65-0)),0)</f>
        <v>2.0349118089421632</v>
      </c>
    </row>
    <row r="29" spans="1:7" x14ac:dyDescent="0.2">
      <c r="A29" s="9" t="s">
        <v>117</v>
      </c>
      <c r="B29" s="15">
        <v>67536</v>
      </c>
      <c r="C29" s="15">
        <v>0</v>
      </c>
      <c r="D29" s="15">
        <v>74138</v>
      </c>
      <c r="E29" s="15">
        <v>74138</v>
      </c>
      <c r="F29" s="15">
        <v>75106</v>
      </c>
      <c r="G29" s="16">
        <f>IF(AND(F65&lt;&gt;0,75106&lt;&gt;0),IF(100*75106/(F65-0)&lt;0.005,"*",100*75106/(F65-0)),0)</f>
        <v>1.9560509678553524</v>
      </c>
    </row>
    <row r="30" spans="1:7" x14ac:dyDescent="0.2">
      <c r="A30" s="9" t="s">
        <v>118</v>
      </c>
      <c r="B30" s="15">
        <v>47123</v>
      </c>
      <c r="C30" s="15">
        <v>0</v>
      </c>
      <c r="D30" s="15">
        <v>51729</v>
      </c>
      <c r="E30" s="15">
        <v>51729</v>
      </c>
      <c r="F30" s="15">
        <v>52405</v>
      </c>
      <c r="G30" s="16">
        <f>IF(AND(F65&lt;&gt;0,52405&lt;&gt;0),IF(100*52405/(F65-0)&lt;0.005,"*",100*52405/(F65-0)),0)</f>
        <v>1.3648290545423767</v>
      </c>
    </row>
    <row r="31" spans="1:7" x14ac:dyDescent="0.2">
      <c r="A31" s="9" t="s">
        <v>119</v>
      </c>
      <c r="B31" s="15">
        <v>54832</v>
      </c>
      <c r="C31" s="15">
        <v>0</v>
      </c>
      <c r="D31" s="15">
        <v>60192</v>
      </c>
      <c r="E31" s="15">
        <v>60192</v>
      </c>
      <c r="F31" s="15">
        <v>60978</v>
      </c>
      <c r="G31" s="16">
        <f>IF(AND(F65&lt;&gt;0,60978&lt;&gt;0),IF(100*60978/(F65-0)&lt;0.005,"*",100*60978/(F65-0)),0)</f>
        <v>1.5881031597726369</v>
      </c>
    </row>
    <row r="32" spans="1:7" x14ac:dyDescent="0.2">
      <c r="A32" s="9" t="s">
        <v>120</v>
      </c>
      <c r="B32" s="15">
        <v>11286</v>
      </c>
      <c r="C32" s="15">
        <v>0</v>
      </c>
      <c r="D32" s="15">
        <v>12389</v>
      </c>
      <c r="E32" s="15">
        <v>12389</v>
      </c>
      <c r="F32" s="15">
        <v>12551</v>
      </c>
      <c r="G32" s="16">
        <f>IF(AND(F65&lt;&gt;0,12551&lt;&gt;0),IF(100*12551/(F65-0)&lt;0.005,"*",100*12551/(F65-0)),0)</f>
        <v>0.32687662367257647</v>
      </c>
    </row>
    <row r="33" spans="1:7" x14ac:dyDescent="0.2">
      <c r="A33" s="9" t="s">
        <v>121</v>
      </c>
      <c r="B33" s="15">
        <v>30607</v>
      </c>
      <c r="C33" s="15">
        <v>0</v>
      </c>
      <c r="D33" s="15">
        <v>33599</v>
      </c>
      <c r="E33" s="15">
        <v>33599</v>
      </c>
      <c r="F33" s="15">
        <v>34038</v>
      </c>
      <c r="G33" s="16">
        <f>IF(AND(F65&lt;&gt;0,34038&lt;&gt;0),IF(100*34038/(F65-0)&lt;0.005,"*",100*34038/(F65-0)),0)</f>
        <v>0.88648127771230634</v>
      </c>
    </row>
    <row r="34" spans="1:7" x14ac:dyDescent="0.2">
      <c r="A34" s="9" t="s">
        <v>122</v>
      </c>
      <c r="B34" s="15">
        <v>12004</v>
      </c>
      <c r="C34" s="15">
        <v>0</v>
      </c>
      <c r="D34" s="15">
        <v>13177</v>
      </c>
      <c r="E34" s="15">
        <v>13177</v>
      </c>
      <c r="F34" s="15">
        <v>13349</v>
      </c>
      <c r="G34" s="16">
        <f>IF(AND(F65&lt;&gt;0,13349&lt;&gt;0),IF(100*13349/(F65-0)&lt;0.005,"*",100*13349/(F65-0)),0)</f>
        <v>0.34765963265120092</v>
      </c>
    </row>
    <row r="35" spans="1:7" x14ac:dyDescent="0.2">
      <c r="A35" s="9" t="s">
        <v>123</v>
      </c>
      <c r="B35" s="15">
        <v>4789</v>
      </c>
      <c r="C35" s="15">
        <v>0</v>
      </c>
      <c r="D35" s="15">
        <v>5257</v>
      </c>
      <c r="E35" s="15">
        <v>5257</v>
      </c>
      <c r="F35" s="15">
        <v>5326</v>
      </c>
      <c r="G35" s="16">
        <f>IF(AND(F65&lt;&gt;0,5326&lt;&gt;0),IF(100*5326/(F65-0)&lt;0.005,"*",100*5326/(F65-0)),0)</f>
        <v>0.13870965641623315</v>
      </c>
    </row>
    <row r="36" spans="1:7" x14ac:dyDescent="0.2">
      <c r="A36" s="9" t="s">
        <v>124</v>
      </c>
      <c r="B36" s="15">
        <v>82842</v>
      </c>
      <c r="C36" s="15">
        <v>0</v>
      </c>
      <c r="D36" s="15">
        <v>90940</v>
      </c>
      <c r="E36" s="15">
        <v>90940</v>
      </c>
      <c r="F36" s="15">
        <v>92127</v>
      </c>
      <c r="G36" s="16">
        <f>IF(AND(F65&lt;&gt;0,92127&lt;&gt;0),IF(100*92127/(F65-0)&lt;0.005,"*",100*92127/(F65-0)),0)</f>
        <v>2.3993436944533064</v>
      </c>
    </row>
    <row r="37" spans="1:7" x14ac:dyDescent="0.2">
      <c r="A37" s="9" t="s">
        <v>125</v>
      </c>
      <c r="B37" s="15">
        <v>33512</v>
      </c>
      <c r="C37" s="15">
        <v>0</v>
      </c>
      <c r="D37" s="15">
        <v>36788</v>
      </c>
      <c r="E37" s="15">
        <v>36788</v>
      </c>
      <c r="F37" s="15">
        <v>37268</v>
      </c>
      <c r="G37" s="16">
        <f>IF(AND(F65&lt;&gt;0,37268&lt;&gt;0),IF(100*37268/(F65-0)&lt;0.005,"*",100*37268/(F65-0)),0)</f>
        <v>0.97060298072102458</v>
      </c>
    </row>
    <row r="38" spans="1:7" x14ac:dyDescent="0.2">
      <c r="A38" s="9" t="s">
        <v>126</v>
      </c>
      <c r="B38" s="15">
        <v>243162</v>
      </c>
      <c r="C38" s="15">
        <v>0</v>
      </c>
      <c r="D38" s="15">
        <v>266932</v>
      </c>
      <c r="E38" s="15">
        <v>266932</v>
      </c>
      <c r="F38" s="15">
        <v>270416</v>
      </c>
      <c r="G38" s="16">
        <f>IF(AND(F65&lt;&gt;0,270416&lt;&gt;0),IF(100*270416/(F65-0)&lt;0.005,"*",100*270416/(F65-0)),0)</f>
        <v>7.042679393438247</v>
      </c>
    </row>
    <row r="39" spans="1:7" x14ac:dyDescent="0.2">
      <c r="A39" s="9" t="s">
        <v>127</v>
      </c>
      <c r="B39" s="15">
        <v>95760</v>
      </c>
      <c r="C39" s="15">
        <v>0</v>
      </c>
      <c r="D39" s="15">
        <v>105121</v>
      </c>
      <c r="E39" s="15">
        <v>105121</v>
      </c>
      <c r="F39" s="15">
        <v>106493</v>
      </c>
      <c r="G39" s="16">
        <f>IF(AND(F65&lt;&gt;0,106493&lt;&gt;0),IF(100*106493/(F65-0)&lt;0.005,"*",100*106493/(F65-0)),0)</f>
        <v>2.7734899438103486</v>
      </c>
    </row>
    <row r="40" spans="1:7" x14ac:dyDescent="0.2">
      <c r="A40" s="9" t="s">
        <v>128</v>
      </c>
      <c r="B40" s="15">
        <v>9890</v>
      </c>
      <c r="C40" s="15">
        <v>0</v>
      </c>
      <c r="D40" s="15">
        <v>10857</v>
      </c>
      <c r="E40" s="15">
        <v>10857</v>
      </c>
      <c r="F40" s="15">
        <v>10998</v>
      </c>
      <c r="G40" s="16">
        <f>IF(AND(F65&lt;&gt;0,10998&lt;&gt;0),IF(100*10998/(F65-0)&lt;0.005,"*",100*10998/(F65-0)),0)</f>
        <v>0.28643049216405037</v>
      </c>
    </row>
    <row r="41" spans="1:7" x14ac:dyDescent="0.2">
      <c r="A41" s="9" t="s">
        <v>129</v>
      </c>
      <c r="B41" s="15">
        <v>90888</v>
      </c>
      <c r="C41" s="15">
        <v>0</v>
      </c>
      <c r="D41" s="15">
        <v>99773</v>
      </c>
      <c r="E41" s="15">
        <v>99773</v>
      </c>
      <c r="F41" s="15">
        <v>101075</v>
      </c>
      <c r="G41" s="16">
        <f>IF(AND(F65&lt;&gt;0,101075&lt;&gt;0),IF(100*101075/(F65-0)&lt;0.005,"*",100*101075/(F65-0)),0)</f>
        <v>2.6323842512712665</v>
      </c>
    </row>
    <row r="42" spans="1:7" x14ac:dyDescent="0.2">
      <c r="A42" s="9" t="s">
        <v>130</v>
      </c>
      <c r="B42" s="15">
        <v>62510</v>
      </c>
      <c r="C42" s="15">
        <v>0</v>
      </c>
      <c r="D42" s="15">
        <v>68621</v>
      </c>
      <c r="E42" s="15">
        <v>68621</v>
      </c>
      <c r="F42" s="15">
        <v>69516</v>
      </c>
      <c r="G42" s="16">
        <f>IF(AND(F65&lt;&gt;0,69516&lt;&gt;0),IF(100*69516/(F65-0)&lt;0.005,"*",100*69516/(F65-0)),0)</f>
        <v>1.8104657295213789</v>
      </c>
    </row>
    <row r="43" spans="1:7" x14ac:dyDescent="0.2">
      <c r="A43" s="9" t="s">
        <v>131</v>
      </c>
      <c r="B43" s="15">
        <v>34699</v>
      </c>
      <c r="C43" s="15">
        <v>0</v>
      </c>
      <c r="D43" s="15">
        <v>38091</v>
      </c>
      <c r="E43" s="15">
        <v>38091</v>
      </c>
      <c r="F43" s="15">
        <v>38588</v>
      </c>
      <c r="G43" s="16">
        <f>IF(AND(F65&lt;&gt;0,38588&lt;&gt;0),IF(100*38588/(F65-0)&lt;0.005,"*",100*38588/(F65-0)),0)</f>
        <v>1.0049808903097268</v>
      </c>
    </row>
    <row r="44" spans="1:7" x14ac:dyDescent="0.2">
      <c r="A44" s="9" t="s">
        <v>132</v>
      </c>
      <c r="B44" s="15">
        <v>120638</v>
      </c>
      <c r="C44" s="15">
        <v>0</v>
      </c>
      <c r="D44" s="15">
        <v>132431</v>
      </c>
      <c r="E44" s="15">
        <v>132431</v>
      </c>
      <c r="F44" s="15">
        <v>134159</v>
      </c>
      <c r="G44" s="16">
        <f>IF(AND(F65&lt;&gt;0,134159&lt;&gt;0),IF(100*134159/(F65-0)&lt;0.005,"*",100*134159/(F65-0)),0)</f>
        <v>3.4940196761444655</v>
      </c>
    </row>
    <row r="45" spans="1:7" x14ac:dyDescent="0.2">
      <c r="A45" s="9" t="s">
        <v>133</v>
      </c>
      <c r="B45" s="15">
        <v>9185</v>
      </c>
      <c r="C45" s="15">
        <v>0</v>
      </c>
      <c r="D45" s="15">
        <v>10083</v>
      </c>
      <c r="E45" s="15">
        <v>10083</v>
      </c>
      <c r="F45" s="15">
        <v>10214</v>
      </c>
      <c r="G45" s="16">
        <f>IF(AND(F65&lt;&gt;0,10214&lt;&gt;0),IF(100*10214/(F65-0)&lt;0.005,"*",100*10214/(F65-0)),0)</f>
        <v>0.26601209737803327</v>
      </c>
    </row>
    <row r="46" spans="1:7" x14ac:dyDescent="0.2">
      <c r="A46" s="9" t="s">
        <v>134</v>
      </c>
      <c r="B46" s="15">
        <v>35722</v>
      </c>
      <c r="C46" s="15">
        <v>0</v>
      </c>
      <c r="D46" s="15">
        <v>39214</v>
      </c>
      <c r="E46" s="15">
        <v>39214</v>
      </c>
      <c r="F46" s="15">
        <v>39726</v>
      </c>
      <c r="G46" s="16">
        <f>IF(AND(F65&lt;&gt;0,39726&lt;&gt;0),IF(100*39726/(F65-0)&lt;0.005,"*",100*39726/(F65-0)),0)</f>
        <v>1.0346188153945322</v>
      </c>
    </row>
    <row r="47" spans="1:7" x14ac:dyDescent="0.2">
      <c r="A47" s="9" t="s">
        <v>135</v>
      </c>
      <c r="B47" s="15">
        <v>8144</v>
      </c>
      <c r="C47" s="15">
        <v>0</v>
      </c>
      <c r="D47" s="15">
        <v>8940</v>
      </c>
      <c r="E47" s="15">
        <v>8940</v>
      </c>
      <c r="F47" s="15">
        <v>9057</v>
      </c>
      <c r="G47" s="16">
        <f>IF(AND(F65&lt;&gt;0,9057&lt;&gt;0),IF(100*9057/(F65-0)&lt;0.005,"*",100*9057/(F65-0)),0)</f>
        <v>0.23587933874611783</v>
      </c>
    </row>
    <row r="48" spans="1:7" x14ac:dyDescent="0.2">
      <c r="A48" s="9" t="s">
        <v>136</v>
      </c>
      <c r="B48" s="15">
        <v>67387</v>
      </c>
      <c r="C48" s="15">
        <v>0</v>
      </c>
      <c r="D48" s="15">
        <v>73974</v>
      </c>
      <c r="E48" s="15">
        <v>73974</v>
      </c>
      <c r="F48" s="15">
        <v>74940</v>
      </c>
      <c r="G48" s="16">
        <f>IF(AND(F65&lt;&gt;0,74940&lt;&gt;0),IF(100*74940/(F65-0)&lt;0.005,"*",100*74940/(F65-0)),0)</f>
        <v>1.951727685285864</v>
      </c>
    </row>
    <row r="49" spans="1:7" x14ac:dyDescent="0.2">
      <c r="A49" s="9" t="s">
        <v>137</v>
      </c>
      <c r="B49" s="15">
        <v>406700</v>
      </c>
      <c r="C49" s="15">
        <v>0</v>
      </c>
      <c r="D49" s="15">
        <v>446456</v>
      </c>
      <c r="E49" s="15">
        <v>446456</v>
      </c>
      <c r="F49" s="15">
        <v>452284</v>
      </c>
      <c r="G49" s="16">
        <f>IF(AND(F65&lt;&gt;0,452284&lt;&gt;0),IF(100*452284/(F65-0)&lt;0.005,"*",100*452284/(F65-0)),0)</f>
        <v>11.779226106376191</v>
      </c>
    </row>
    <row r="50" spans="1:7" x14ac:dyDescent="0.2">
      <c r="A50" s="9" t="s">
        <v>138</v>
      </c>
      <c r="B50" s="15">
        <v>28379</v>
      </c>
      <c r="C50" s="15">
        <v>0</v>
      </c>
      <c r="D50" s="15">
        <v>31153</v>
      </c>
      <c r="E50" s="15">
        <v>31153</v>
      </c>
      <c r="F50" s="15">
        <v>31560</v>
      </c>
      <c r="G50" s="16">
        <f>IF(AND(F65&lt;&gt;0,31560&lt;&gt;0),IF(100*31560/(F65-0)&lt;0.005,"*",100*31560/(F65-0)),0)</f>
        <v>0.82194456562078821</v>
      </c>
    </row>
    <row r="51" spans="1:7" x14ac:dyDescent="0.2">
      <c r="A51" s="9" t="s">
        <v>139</v>
      </c>
      <c r="B51" s="15">
        <v>6408</v>
      </c>
      <c r="C51" s="15">
        <v>0</v>
      </c>
      <c r="D51" s="15">
        <v>7034</v>
      </c>
      <c r="E51" s="15">
        <v>7034</v>
      </c>
      <c r="F51" s="15">
        <v>7126</v>
      </c>
      <c r="G51" s="16">
        <f>IF(AND(F65&lt;&gt;0,7126&lt;&gt;0),IF(100*7126/(F65-0)&lt;0.005,"*",100*7126/(F65-0)),0)</f>
        <v>0.18558862403719065</v>
      </c>
    </row>
    <row r="52" spans="1:7" x14ac:dyDescent="0.2">
      <c r="A52" s="9" t="s">
        <v>140</v>
      </c>
      <c r="B52" s="15">
        <v>51891</v>
      </c>
      <c r="C52" s="15">
        <v>0</v>
      </c>
      <c r="D52" s="15">
        <v>56964</v>
      </c>
      <c r="E52" s="15">
        <v>56964</v>
      </c>
      <c r="F52" s="15">
        <v>57707</v>
      </c>
      <c r="G52" s="16">
        <f>IF(AND(F65&lt;&gt;0,57707&lt;&gt;0),IF(100*57707/(F65-0)&lt;0.005,"*",100*57707/(F65-0)),0)</f>
        <v>1.5029136580569971</v>
      </c>
    </row>
    <row r="53" spans="1:7" x14ac:dyDescent="0.2">
      <c r="A53" s="9" t="s">
        <v>141</v>
      </c>
      <c r="B53" s="15">
        <v>48332</v>
      </c>
      <c r="C53" s="15">
        <v>0</v>
      </c>
      <c r="D53" s="15">
        <v>53057</v>
      </c>
      <c r="E53" s="15">
        <v>53057</v>
      </c>
      <c r="F53" s="15">
        <v>53749</v>
      </c>
      <c r="G53" s="16">
        <f>IF(AND(F65&lt;&gt;0,53749&lt;&gt;0),IF(100*53749/(F65-0)&lt;0.005,"*",100*53749/(F65-0)),0)</f>
        <v>1.3998320170326917</v>
      </c>
    </row>
    <row r="54" spans="1:7" x14ac:dyDescent="0.2">
      <c r="A54" s="9" t="s">
        <v>142</v>
      </c>
      <c r="B54" s="15">
        <v>16737</v>
      </c>
      <c r="C54" s="15">
        <v>0</v>
      </c>
      <c r="D54" s="15">
        <v>18373</v>
      </c>
      <c r="E54" s="15">
        <v>18373</v>
      </c>
      <c r="F54" s="15">
        <v>18613</v>
      </c>
      <c r="G54" s="16">
        <f>IF(AND(F65&lt;&gt;0,18613&lt;&gt;0),IF(100*18613/(F65-0)&lt;0.005,"*",100*18613/(F65-0)),0)</f>
        <v>0.48475456907160114</v>
      </c>
    </row>
    <row r="55" spans="1:7" x14ac:dyDescent="0.2">
      <c r="A55" s="9" t="s">
        <v>143</v>
      </c>
      <c r="B55" s="15">
        <v>38267</v>
      </c>
      <c r="C55" s="15">
        <v>0</v>
      </c>
      <c r="D55" s="15">
        <v>42008</v>
      </c>
      <c r="E55" s="15">
        <v>42008</v>
      </c>
      <c r="F55" s="15">
        <v>42556</v>
      </c>
      <c r="G55" s="16">
        <f>IF(AND(F65&lt;&gt;0,42556&lt;&gt;0),IF(100*42556/(F65-0)&lt;0.005,"*",100*42556/(F65-0)),0)</f>
        <v>1.1083229700430375</v>
      </c>
    </row>
    <row r="56" spans="1:7" x14ac:dyDescent="0.2">
      <c r="A56" s="9" t="s">
        <v>144</v>
      </c>
      <c r="B56" s="15">
        <v>4663</v>
      </c>
      <c r="C56" s="15">
        <v>0</v>
      </c>
      <c r="D56" s="15">
        <v>5119</v>
      </c>
      <c r="E56" s="15">
        <v>5119</v>
      </c>
      <c r="F56" s="15">
        <v>5186</v>
      </c>
      <c r="G56" s="16">
        <f>IF(AND(F65&lt;&gt;0,5186&lt;&gt;0),IF(100*5186/(F65-0)&lt;0.005,"*",100*5186/(F65-0)),0)</f>
        <v>0.13506351449015866</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459</v>
      </c>
      <c r="C58" s="15">
        <v>0</v>
      </c>
      <c r="D58" s="15">
        <v>504</v>
      </c>
      <c r="E58" s="15">
        <v>504</v>
      </c>
      <c r="F58" s="15">
        <v>510</v>
      </c>
      <c r="G58" s="16">
        <f>IF(AND(F65&lt;&gt;0,510&lt;&gt;0),IF(100*510/(F65-0)&lt;0.005,"*",100*510/(F65-0)),0)</f>
        <v>1.3282374159271292E-2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19673</v>
      </c>
      <c r="C60" s="15">
        <v>0</v>
      </c>
      <c r="D60" s="15">
        <v>21596</v>
      </c>
      <c r="E60" s="15">
        <v>21596</v>
      </c>
      <c r="F60" s="15">
        <v>21878</v>
      </c>
      <c r="G60" s="16">
        <f>IF(AND(F65&lt;&gt;0,21878&lt;&gt;0),IF(100*21878/(F65-0)&lt;0.005,"*",100*21878/(F65-0)),0)</f>
        <v>0.56978780756183789</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604</v>
      </c>
      <c r="C62" s="15">
        <v>0</v>
      </c>
      <c r="D62" s="15">
        <v>663</v>
      </c>
      <c r="E62" s="15">
        <v>663</v>
      </c>
      <c r="F62" s="15">
        <v>672</v>
      </c>
      <c r="G62" s="16">
        <f>IF(AND(F65&lt;&gt;0,672&lt;&gt;0),IF(100*672/(F65-0)&lt;0.005,"*",100*672/(F65-0)),0)</f>
        <v>1.7501481245157467E-2</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300595</v>
      </c>
      <c r="C64" s="15">
        <v>0</v>
      </c>
      <c r="D64" s="15">
        <v>0</v>
      </c>
      <c r="E64" s="15">
        <v>0</v>
      </c>
      <c r="F64" s="15">
        <v>0</v>
      </c>
      <c r="G64" s="16">
        <v>0</v>
      </c>
    </row>
    <row r="65" spans="1:7" ht="15" customHeight="1" x14ac:dyDescent="0.2">
      <c r="A65" s="17" t="s">
        <v>93</v>
      </c>
      <c r="B65" s="18">
        <f>57550+9199+52512+51422+460651+26594+18417+18101+9881+275577+114328+6715+7984+145085+56759+27612+31591+42871+97137+9446+52751+65617+70259+67536+47123+54832+11286+30607+12004+4789+82842+33512+243162+95760+9890+90888+62510+34699+120638+9185+35722+8144+67387+406700+28379+6408+51891+48332+16737+38267+4663+0+459+0+19673+0+604+0+300595+0</f>
        <v>3753283</v>
      </c>
      <c r="C65" s="18">
        <f>0+0+0+0+0+0+0+0+0+0+0+0+0+0+0+0+0+0+0+0+0+0+0+0+0+0+0+0+0+0+0+0+0+0+0+0+0+0+0+0+0+0+0+0+0+0+0+0+0+0+0+0+0+0+0+0+0+0+0+0</f>
        <v>0</v>
      </c>
      <c r="D65" s="18">
        <f>63176+10098+57645+56449+505681+29194+20217+19870+10847+302515+125504+7371+8764+159268+62307+30311+34679+47062+106632+10369+57908+72031+77127+74138+51729+60192+12389+33599+13177+5257+90940+36788+266932+105121+10857+99773+68621+38091+132431+10083+39214+8940+73974+446456+31153+7034+56964+53057+18373+42008+5119+0+504+0+21596+0+663+0+0+0</f>
        <v>3790198</v>
      </c>
      <c r="E65" s="18">
        <f>SUM(C65:D65)</f>
        <v>3790198</v>
      </c>
      <c r="F65" s="18">
        <f>64000+10230+58398+57186+512282+29575+20481+20130+10988+306464+127142+7468+8879+161347+63121+30707+35132+47676+108024+10505+58663+72972+78134+75106+52405+60978+12551+34038+13349+5326+92127+37268+270416+106493+10998+101075+69516+38588+134159+10214+39726+9057+74940+452284+31560+7126+57707+53749+18613+42556+5186+0+510+0+21878+0+672+0+0+0</f>
        <v>3839675</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0" t="s">
        <v>82</v>
      </c>
      <c r="B1" s="8"/>
      <c r="C1" s="8"/>
      <c r="D1" s="8"/>
      <c r="E1" s="8"/>
      <c r="F1" s="8"/>
      <c r="G1" s="10" t="s">
        <v>160</v>
      </c>
    </row>
    <row r="2" spans="1:7" x14ac:dyDescent="0.2">
      <c r="A2" s="11" t="s">
        <v>161</v>
      </c>
      <c r="B2" s="12"/>
      <c r="C2" s="12"/>
      <c r="D2" s="12"/>
      <c r="E2" s="12"/>
      <c r="F2" s="12"/>
      <c r="G2" s="12"/>
    </row>
    <row r="3" spans="1:7" x14ac:dyDescent="0.2">
      <c r="A3" s="12" t="s">
        <v>85</v>
      </c>
      <c r="B3" s="12"/>
      <c r="C3" s="12"/>
      <c r="D3" s="12"/>
      <c r="E3" s="12"/>
      <c r="F3" s="12"/>
      <c r="G3" s="12"/>
    </row>
    <row r="4" spans="1:7" x14ac:dyDescent="0.2">
      <c r="A4" s="67" t="s">
        <v>86</v>
      </c>
      <c r="B4" s="69" t="s">
        <v>87</v>
      </c>
      <c r="C4" s="14" t="s">
        <v>88</v>
      </c>
      <c r="D4" s="14"/>
      <c r="E4" s="14"/>
      <c r="F4" s="69" t="s">
        <v>89</v>
      </c>
      <c r="G4" s="71" t="s">
        <v>90</v>
      </c>
    </row>
    <row r="5" spans="1:7" ht="25.5" customHeight="1" x14ac:dyDescent="0.2">
      <c r="A5" s="68"/>
      <c r="B5" s="70"/>
      <c r="C5" s="13" t="s">
        <v>91</v>
      </c>
      <c r="D5" s="13" t="s">
        <v>92</v>
      </c>
      <c r="E5" s="13" t="s">
        <v>93</v>
      </c>
      <c r="F5" s="70"/>
      <c r="G5" s="72"/>
    </row>
    <row r="6" spans="1:7" x14ac:dyDescent="0.2">
      <c r="A6" s="9" t="s">
        <v>94</v>
      </c>
      <c r="B6" s="15">
        <v>50477</v>
      </c>
      <c r="C6" s="15">
        <v>378</v>
      </c>
      <c r="D6" s="15">
        <v>66468</v>
      </c>
      <c r="E6" s="15">
        <v>66846</v>
      </c>
      <c r="F6" s="15">
        <v>71274</v>
      </c>
      <c r="G6" s="16">
        <f>IF(AND(F65&lt;&gt;0,71274&lt;&gt;0),IF(100*71274/(F65-0)&lt;0.005,"*",100*71274/(F65-0)),0)</f>
        <v>1.2038825440071483</v>
      </c>
    </row>
    <row r="7" spans="1:7" x14ac:dyDescent="0.2">
      <c r="A7" s="9" t="s">
        <v>95</v>
      </c>
      <c r="B7" s="15">
        <v>10245</v>
      </c>
      <c r="C7" s="15">
        <v>77</v>
      </c>
      <c r="D7" s="15">
        <v>13491</v>
      </c>
      <c r="E7" s="15">
        <v>13568</v>
      </c>
      <c r="F7" s="15">
        <v>14466</v>
      </c>
      <c r="G7" s="16">
        <f>IF(AND(F65&lt;&gt;0,14466&lt;&gt;0),IF(100*14466/(F65-0)&lt;0.005,"*",100*14466/(F65-0)),0)</f>
        <v>0.24434386847388118</v>
      </c>
    </row>
    <row r="8" spans="1:7" x14ac:dyDescent="0.2">
      <c r="A8" s="9" t="s">
        <v>96</v>
      </c>
      <c r="B8" s="15">
        <v>69742</v>
      </c>
      <c r="C8" s="15">
        <v>522</v>
      </c>
      <c r="D8" s="15">
        <v>91836</v>
      </c>
      <c r="E8" s="15">
        <v>92358</v>
      </c>
      <c r="F8" s="15">
        <v>98476</v>
      </c>
      <c r="G8" s="16">
        <f>IF(AND(F65&lt;&gt;0,98476&lt;&gt;0),IF(100*98476/(F65-0)&lt;0.005,"*",100*98476/(F65-0)),0)</f>
        <v>1.6633490109106817</v>
      </c>
    </row>
    <row r="9" spans="1:7" x14ac:dyDescent="0.2">
      <c r="A9" s="9" t="s">
        <v>97</v>
      </c>
      <c r="B9" s="15">
        <v>33141</v>
      </c>
      <c r="C9" s="15">
        <v>248</v>
      </c>
      <c r="D9" s="15">
        <v>43640</v>
      </c>
      <c r="E9" s="15">
        <v>43888</v>
      </c>
      <c r="F9" s="15">
        <v>46795</v>
      </c>
      <c r="G9" s="16">
        <f>IF(AND(F65&lt;&gt;0,46795&lt;&gt;0),IF(100*46795/(F65-0)&lt;0.005,"*",100*46795/(F65-0)),0)</f>
        <v>0.79041001833508018</v>
      </c>
    </row>
    <row r="10" spans="1:7" x14ac:dyDescent="0.2">
      <c r="A10" s="9" t="s">
        <v>98</v>
      </c>
      <c r="B10" s="15">
        <v>931272</v>
      </c>
      <c r="C10" s="15">
        <v>6966</v>
      </c>
      <c r="D10" s="15">
        <v>1226301</v>
      </c>
      <c r="E10" s="15">
        <v>1233267</v>
      </c>
      <c r="F10" s="15">
        <v>1314964</v>
      </c>
      <c r="G10" s="16">
        <f>IF(AND(F65&lt;&gt;0,1314964&lt;&gt;0),IF(100*1314964/(F65-0)&lt;0.005,"*",100*1314964/(F65-0)),0)</f>
        <v>22.210935342450483</v>
      </c>
    </row>
    <row r="11" spans="1:7" x14ac:dyDescent="0.2">
      <c r="A11" s="9" t="s">
        <v>99</v>
      </c>
      <c r="B11" s="15">
        <v>58268</v>
      </c>
      <c r="C11" s="15">
        <v>436</v>
      </c>
      <c r="D11" s="15">
        <v>76727</v>
      </c>
      <c r="E11" s="15">
        <v>77163</v>
      </c>
      <c r="F11" s="15">
        <v>82275</v>
      </c>
      <c r="G11" s="16">
        <f>IF(AND(F65&lt;&gt;0,82275&lt;&gt;0),IF(100*82275/(F65-0)&lt;0.005,"*",100*82275/(F65-0)),0)</f>
        <v>1.3896994178548716</v>
      </c>
    </row>
    <row r="12" spans="1:7" x14ac:dyDescent="0.2">
      <c r="A12" s="9" t="s">
        <v>100</v>
      </c>
      <c r="B12" s="15">
        <v>56165</v>
      </c>
      <c r="C12" s="15">
        <v>420</v>
      </c>
      <c r="D12" s="15">
        <v>73958</v>
      </c>
      <c r="E12" s="15">
        <v>74378</v>
      </c>
      <c r="F12" s="15">
        <v>79305</v>
      </c>
      <c r="G12" s="16">
        <f>IF(AND(F65&lt;&gt;0,79305&lt;&gt;0),IF(100*79305/(F65-0)&lt;0.005,"*",100*79305/(F65-0)),0)</f>
        <v>1.339533422461022</v>
      </c>
    </row>
    <row r="13" spans="1:7" x14ac:dyDescent="0.2">
      <c r="A13" s="9" t="s">
        <v>101</v>
      </c>
      <c r="B13" s="15">
        <v>12926</v>
      </c>
      <c r="C13" s="15">
        <v>97</v>
      </c>
      <c r="D13" s="15">
        <v>17021</v>
      </c>
      <c r="E13" s="15">
        <v>17118</v>
      </c>
      <c r="F13" s="15">
        <v>18252</v>
      </c>
      <c r="G13" s="16">
        <f>IF(AND(F65&lt;&gt;0,18252&lt;&gt;0),IF(100*18252/(F65-0)&lt;0.005,"*",100*18252/(F65-0)),0)</f>
        <v>0.30829284442038429</v>
      </c>
    </row>
    <row r="14" spans="1:7" x14ac:dyDescent="0.2">
      <c r="A14" s="9" t="s">
        <v>102</v>
      </c>
      <c r="B14" s="15">
        <v>22139</v>
      </c>
      <c r="C14" s="15">
        <v>166</v>
      </c>
      <c r="D14" s="15">
        <v>29153</v>
      </c>
      <c r="E14" s="15">
        <v>29319</v>
      </c>
      <c r="F14" s="15">
        <v>31260</v>
      </c>
      <c r="G14" s="16">
        <f>IF(AND(F65&lt;&gt;0,31260&lt;&gt;0),IF(100*31260/(F65-0)&lt;0.005,"*",100*31260/(F65-0)),0)</f>
        <v>0.52800976970092117</v>
      </c>
    </row>
    <row r="15" spans="1:7" x14ac:dyDescent="0.2">
      <c r="A15" s="9" t="s">
        <v>103</v>
      </c>
      <c r="B15" s="15">
        <v>107267</v>
      </c>
      <c r="C15" s="15">
        <v>802</v>
      </c>
      <c r="D15" s="15">
        <v>141249</v>
      </c>
      <c r="E15" s="15">
        <v>142051</v>
      </c>
      <c r="F15" s="15">
        <v>151462</v>
      </c>
      <c r="G15" s="16">
        <f>IF(AND(F65&lt;&gt;0,151462&lt;&gt;0),IF(100*151462/(F65-0)&lt;0.005,"*",100*151462/(F65-0)),0)</f>
        <v>2.5583306378260051</v>
      </c>
    </row>
    <row r="16" spans="1:7" x14ac:dyDescent="0.2">
      <c r="A16" s="9" t="s">
        <v>104</v>
      </c>
      <c r="B16" s="15">
        <v>98182</v>
      </c>
      <c r="C16" s="15">
        <v>734</v>
      </c>
      <c r="D16" s="15">
        <v>129286</v>
      </c>
      <c r="E16" s="15">
        <v>130020</v>
      </c>
      <c r="F16" s="15">
        <v>138634</v>
      </c>
      <c r="G16" s="16">
        <f>IF(AND(F65&lt;&gt;0,138634&lt;&gt;0),IF(100*138634/(F65-0)&lt;0.005,"*",100*138634/(F65-0)),0)</f>
        <v>2.3416540759026714</v>
      </c>
    </row>
    <row r="17" spans="1:7" x14ac:dyDescent="0.2">
      <c r="A17" s="9" t="s">
        <v>105</v>
      </c>
      <c r="B17" s="15">
        <v>21386</v>
      </c>
      <c r="C17" s="15">
        <v>160</v>
      </c>
      <c r="D17" s="15">
        <v>28161</v>
      </c>
      <c r="E17" s="15">
        <v>28321</v>
      </c>
      <c r="F17" s="15">
        <v>30197</v>
      </c>
      <c r="G17" s="16">
        <f>IF(AND(F65&lt;&gt;0,30197&lt;&gt;0),IF(100*30197/(F65-0)&lt;0.005,"*",100*30197/(F65-0)),0)</f>
        <v>0.51005473498588338</v>
      </c>
    </row>
    <row r="18" spans="1:7" x14ac:dyDescent="0.2">
      <c r="A18" s="9" t="s">
        <v>106</v>
      </c>
      <c r="B18" s="15">
        <v>11100</v>
      </c>
      <c r="C18" s="15">
        <v>83</v>
      </c>
      <c r="D18" s="15">
        <v>14616</v>
      </c>
      <c r="E18" s="15">
        <v>14699</v>
      </c>
      <c r="F18" s="15">
        <v>15673</v>
      </c>
      <c r="G18" s="16">
        <f>IF(AND(F65&lt;&gt;0,15673&lt;&gt;0),IF(100*15673/(F65-0)&lt;0.005,"*",100*15673/(F65-0)),0)</f>
        <v>0.2647311938746813</v>
      </c>
    </row>
    <row r="19" spans="1:7" x14ac:dyDescent="0.2">
      <c r="A19" s="9" t="s">
        <v>107</v>
      </c>
      <c r="B19" s="15">
        <v>109276</v>
      </c>
      <c r="C19" s="15">
        <v>817</v>
      </c>
      <c r="D19" s="15">
        <v>143895</v>
      </c>
      <c r="E19" s="15">
        <v>144712</v>
      </c>
      <c r="F19" s="15">
        <v>154299</v>
      </c>
      <c r="G19" s="16">
        <f>IF(AND(F65&lt;&gt;0,154299&lt;&gt;0),IF(100*154299/(F65-0)&lt;0.005,"*",100*154299/(F65-0)),0)</f>
        <v>2.6062501425170326</v>
      </c>
    </row>
    <row r="20" spans="1:7" x14ac:dyDescent="0.2">
      <c r="A20" s="9" t="s">
        <v>108</v>
      </c>
      <c r="B20" s="15">
        <v>58034</v>
      </c>
      <c r="C20" s="15">
        <v>434</v>
      </c>
      <c r="D20" s="15">
        <v>76419</v>
      </c>
      <c r="E20" s="15">
        <v>76853</v>
      </c>
      <c r="F20" s="15">
        <v>81944</v>
      </c>
      <c r="G20" s="16">
        <f>IF(AND(F65&lt;&gt;0,81944&lt;&gt;0),IF(100*81944/(F65-0)&lt;0.005,"*",100*81944/(F65-0)),0)</f>
        <v>1.384108527459126</v>
      </c>
    </row>
    <row r="21" spans="1:7" x14ac:dyDescent="0.2">
      <c r="A21" s="9" t="s">
        <v>109</v>
      </c>
      <c r="B21" s="15">
        <v>20975</v>
      </c>
      <c r="C21" s="15">
        <v>157</v>
      </c>
      <c r="D21" s="15">
        <v>27620</v>
      </c>
      <c r="E21" s="15">
        <v>27777</v>
      </c>
      <c r="F21" s="15">
        <v>29617</v>
      </c>
      <c r="G21" s="16">
        <f>IF(AND(F65&lt;&gt;0,29617&lt;&gt;0),IF(100*29617/(F65-0)&lt;0.005,"*",100*29617/(F65-0)),0)</f>
        <v>0.50025800861267378</v>
      </c>
    </row>
    <row r="22" spans="1:7" x14ac:dyDescent="0.2">
      <c r="A22" s="9" t="s">
        <v>110</v>
      </c>
      <c r="B22" s="15">
        <v>26523</v>
      </c>
      <c r="C22" s="15">
        <v>198</v>
      </c>
      <c r="D22" s="15">
        <v>34926</v>
      </c>
      <c r="E22" s="15">
        <v>35124</v>
      </c>
      <c r="F22" s="15">
        <v>37451</v>
      </c>
      <c r="G22" s="16">
        <f>IF(AND(F65&lt;&gt;0,37451&lt;&gt;0),IF(100*37451/(F65-0)&lt;0.005,"*",100*37451/(F65-0)),0)</f>
        <v>0.63258137828116434</v>
      </c>
    </row>
    <row r="23" spans="1:7" x14ac:dyDescent="0.2">
      <c r="A23" s="9" t="s">
        <v>111</v>
      </c>
      <c r="B23" s="15">
        <v>62477</v>
      </c>
      <c r="C23" s="15">
        <v>467</v>
      </c>
      <c r="D23" s="15">
        <v>82270</v>
      </c>
      <c r="E23" s="15">
        <v>82737</v>
      </c>
      <c r="F23" s="15">
        <v>88218</v>
      </c>
      <c r="G23" s="16">
        <f>IF(AND(F65&lt;&gt;0,88218&lt;&gt;0),IF(100*88218/(F65-0)&lt;0.005,"*",100*88218/(F65-0)),0)</f>
        <v>1.4900820813651907</v>
      </c>
    </row>
    <row r="24" spans="1:7" x14ac:dyDescent="0.2">
      <c r="A24" s="9" t="s">
        <v>112</v>
      </c>
      <c r="B24" s="15">
        <v>67261</v>
      </c>
      <c r="C24" s="15">
        <v>503</v>
      </c>
      <c r="D24" s="15">
        <v>88569</v>
      </c>
      <c r="E24" s="15">
        <v>89072</v>
      </c>
      <c r="F24" s="15">
        <v>94973</v>
      </c>
      <c r="G24" s="16">
        <f>IF(AND(F65&lt;&gt;0,94973&lt;&gt;0),IF(100*94973/(F65-0)&lt;0.005,"*",100*94973/(F65-0)),0)</f>
        <v>1.6041801617980034</v>
      </c>
    </row>
    <row r="25" spans="1:7" x14ac:dyDescent="0.2">
      <c r="A25" s="9" t="s">
        <v>113</v>
      </c>
      <c r="B25" s="15">
        <v>15474</v>
      </c>
      <c r="C25" s="15">
        <v>116</v>
      </c>
      <c r="D25" s="15">
        <v>20376</v>
      </c>
      <c r="E25" s="15">
        <v>20492</v>
      </c>
      <c r="F25" s="15">
        <v>21849</v>
      </c>
      <c r="G25" s="16">
        <f>IF(AND(F65&lt;&gt;0,21849&lt;&gt;0),IF(100*21849/(F65-0)&lt;0.005,"*",100*21849/(F65-0)),0)</f>
        <v>0.36904943884182423</v>
      </c>
    </row>
    <row r="26" spans="1:7" x14ac:dyDescent="0.2">
      <c r="A26" s="9" t="s">
        <v>114</v>
      </c>
      <c r="B26" s="15">
        <v>68479</v>
      </c>
      <c r="C26" s="15">
        <v>512</v>
      </c>
      <c r="D26" s="15">
        <v>90173</v>
      </c>
      <c r="E26" s="15">
        <v>90685</v>
      </c>
      <c r="F26" s="15">
        <v>96693</v>
      </c>
      <c r="G26" s="16">
        <f>IF(AND(F65&lt;&gt;0,96693&lt;&gt;0),IF(100*96693/(F65-0)&lt;0.005,"*",100*96693/(F65-0)),0)</f>
        <v>1.6332325227668321</v>
      </c>
    </row>
    <row r="27" spans="1:7" x14ac:dyDescent="0.2">
      <c r="A27" s="9" t="s">
        <v>115</v>
      </c>
      <c r="B27" s="15">
        <v>64407</v>
      </c>
      <c r="C27" s="15">
        <v>482</v>
      </c>
      <c r="D27" s="15">
        <v>84811</v>
      </c>
      <c r="E27" s="15">
        <v>85293</v>
      </c>
      <c r="F27" s="15">
        <v>90943</v>
      </c>
      <c r="G27" s="16">
        <f>IF(AND(F65&lt;&gt;0,90943&lt;&gt;0),IF(100*90943/(F65-0)&lt;0.005,"*",100*90943/(F65-0)),0)</f>
        <v>1.5361098044117361</v>
      </c>
    </row>
    <row r="28" spans="1:7" x14ac:dyDescent="0.2">
      <c r="A28" s="9" t="s">
        <v>116</v>
      </c>
      <c r="B28" s="15">
        <v>92639</v>
      </c>
      <c r="C28" s="15">
        <v>693</v>
      </c>
      <c r="D28" s="15">
        <v>121987</v>
      </c>
      <c r="E28" s="15">
        <v>122680</v>
      </c>
      <c r="F28" s="15">
        <v>130807</v>
      </c>
      <c r="G28" s="16">
        <f>IF(AND(F65&lt;&gt;0,130807&lt;&gt;0),IF(100*130807/(F65-0)&lt;0.005,"*",100*130807/(F65-0)),0)</f>
        <v>2.2094489425869606</v>
      </c>
    </row>
    <row r="29" spans="1:7" x14ac:dyDescent="0.2">
      <c r="A29" s="9" t="s">
        <v>117</v>
      </c>
      <c r="B29" s="15">
        <v>69649</v>
      </c>
      <c r="C29" s="15">
        <v>521</v>
      </c>
      <c r="D29" s="15">
        <v>91714</v>
      </c>
      <c r="E29" s="15">
        <v>92235</v>
      </c>
      <c r="F29" s="15">
        <v>98345</v>
      </c>
      <c r="G29" s="16">
        <f>IF(AND(F65&lt;&gt;0,98345&lt;&gt;0),IF(100*98345/(F65-0)&lt;0.005,"*",100*98345/(F65-0)),0)</f>
        <v>1.6611363020229395</v>
      </c>
    </row>
    <row r="30" spans="1:7" x14ac:dyDescent="0.2">
      <c r="A30" s="9" t="s">
        <v>118</v>
      </c>
      <c r="B30" s="15">
        <v>26471</v>
      </c>
      <c r="C30" s="15">
        <v>198</v>
      </c>
      <c r="D30" s="15">
        <v>34857</v>
      </c>
      <c r="E30" s="15">
        <v>35055</v>
      </c>
      <c r="F30" s="15">
        <v>37377</v>
      </c>
      <c r="G30" s="16">
        <f>IF(AND(F65&lt;&gt;0,37377&lt;&gt;0),IF(100*37377/(F65-0)&lt;0.005,"*",100*37377/(F65-0)),0)</f>
        <v>0.6313314511232031</v>
      </c>
    </row>
    <row r="31" spans="1:7" x14ac:dyDescent="0.2">
      <c r="A31" s="9" t="s">
        <v>119</v>
      </c>
      <c r="B31" s="15">
        <v>49582</v>
      </c>
      <c r="C31" s="15">
        <v>371</v>
      </c>
      <c r="D31" s="15">
        <v>65290</v>
      </c>
      <c r="E31" s="15">
        <v>65661</v>
      </c>
      <c r="F31" s="15">
        <v>70010</v>
      </c>
      <c r="G31" s="16">
        <f>IF(AND(F65&lt;&gt;0,70010&lt;&gt;0),IF(100*70010/(F65-0)&lt;0.005,"*",100*70010/(F65-0)),0)</f>
        <v>1.1825324368765671</v>
      </c>
    </row>
    <row r="32" spans="1:7" x14ac:dyDescent="0.2">
      <c r="A32" s="9" t="s">
        <v>120</v>
      </c>
      <c r="B32" s="15">
        <v>10150</v>
      </c>
      <c r="C32" s="15">
        <v>76</v>
      </c>
      <c r="D32" s="15">
        <v>13366</v>
      </c>
      <c r="E32" s="15">
        <v>13442</v>
      </c>
      <c r="F32" s="15">
        <v>14332</v>
      </c>
      <c r="G32" s="16">
        <f>IF(AND(F65&lt;&gt;0,14332&lt;&gt;0),IF(100*14332/(F65-0)&lt;0.005,"*",100*14332/(F65-0)),0)</f>
        <v>0.24208048686351893</v>
      </c>
    </row>
    <row r="33" spans="1:7" x14ac:dyDescent="0.2">
      <c r="A33" s="9" t="s">
        <v>121</v>
      </c>
      <c r="B33" s="15">
        <v>19307</v>
      </c>
      <c r="C33" s="15">
        <v>144</v>
      </c>
      <c r="D33" s="15">
        <v>25423</v>
      </c>
      <c r="E33" s="15">
        <v>25567</v>
      </c>
      <c r="F33" s="15">
        <v>27262</v>
      </c>
      <c r="G33" s="16">
        <f>IF(AND(F65&lt;&gt;0,27262&lt;&gt;0),IF(100*27262/(F65-0)&lt;0.005,"*",100*27262/(F65-0)),0)</f>
        <v>0.46047992135593452</v>
      </c>
    </row>
    <row r="34" spans="1:7" x14ac:dyDescent="0.2">
      <c r="A34" s="9" t="s">
        <v>122</v>
      </c>
      <c r="B34" s="15">
        <v>27815</v>
      </c>
      <c r="C34" s="15">
        <v>208</v>
      </c>
      <c r="D34" s="15">
        <v>36627</v>
      </c>
      <c r="E34" s="15">
        <v>36835</v>
      </c>
      <c r="F34" s="15">
        <v>39275</v>
      </c>
      <c r="G34" s="16">
        <f>IF(AND(F65&lt;&gt;0,39275&lt;&gt;0),IF(100*39275/(F65-0)&lt;0.005,"*",100*39275/(F65-0)),0)</f>
        <v>0.66339039363415475</v>
      </c>
    </row>
    <row r="35" spans="1:7" x14ac:dyDescent="0.2">
      <c r="A35" s="9" t="s">
        <v>123</v>
      </c>
      <c r="B35" s="15">
        <v>9568</v>
      </c>
      <c r="C35" s="15">
        <v>72</v>
      </c>
      <c r="D35" s="15">
        <v>12599</v>
      </c>
      <c r="E35" s="15">
        <v>12671</v>
      </c>
      <c r="F35" s="15">
        <v>13510</v>
      </c>
      <c r="G35" s="16">
        <f>IF(AND(F65&lt;&gt;0,13510&lt;&gt;0),IF(100*13510/(F65-0)&lt;0.005,"*",100*13510/(F65-0)),0)</f>
        <v>0.22819616086562522</v>
      </c>
    </row>
    <row r="36" spans="1:7" x14ac:dyDescent="0.2">
      <c r="A36" s="9" t="s">
        <v>124</v>
      </c>
      <c r="B36" s="15">
        <v>162852</v>
      </c>
      <c r="C36" s="15">
        <v>1218</v>
      </c>
      <c r="D36" s="15">
        <v>214444</v>
      </c>
      <c r="E36" s="15">
        <v>215662</v>
      </c>
      <c r="F36" s="15">
        <v>229948</v>
      </c>
      <c r="G36" s="16">
        <f>IF(AND(F65&lt;&gt;0,229948&lt;&gt;0),IF(100*229948/(F65-0)&lt;0.005,"*",100*229948/(F65-0)),0)</f>
        <v>3.8840304070117537</v>
      </c>
    </row>
    <row r="37" spans="1:7" x14ac:dyDescent="0.2">
      <c r="A37" s="9" t="s">
        <v>125</v>
      </c>
      <c r="B37" s="15">
        <v>31607</v>
      </c>
      <c r="C37" s="15">
        <v>236</v>
      </c>
      <c r="D37" s="15">
        <v>41620</v>
      </c>
      <c r="E37" s="15">
        <v>41856</v>
      </c>
      <c r="F37" s="15">
        <v>44629</v>
      </c>
      <c r="G37" s="16">
        <f>IF(AND(F65&lt;&gt;0,44629&lt;&gt;0),IF(100*44629/(F65-0)&lt;0.005,"*",100*44629/(F65-0)),0)</f>
        <v>0.75382431260340399</v>
      </c>
    </row>
    <row r="38" spans="1:7" x14ac:dyDescent="0.2">
      <c r="A38" s="9" t="s">
        <v>126</v>
      </c>
      <c r="B38" s="15">
        <v>362346</v>
      </c>
      <c r="C38" s="15">
        <v>2710</v>
      </c>
      <c r="D38" s="15">
        <v>477138</v>
      </c>
      <c r="E38" s="15">
        <v>479848</v>
      </c>
      <c r="F38" s="15">
        <v>511635</v>
      </c>
      <c r="G38" s="16">
        <f>IF(AND(F65&lt;&gt;0,511635&lt;&gt;0),IF(100*511635/(F65-0)&lt;0.005,"*",100*511635/(F65-0)),0)</f>
        <v>8.6419794792364293</v>
      </c>
    </row>
    <row r="39" spans="1:7" x14ac:dyDescent="0.2">
      <c r="A39" s="9" t="s">
        <v>127</v>
      </c>
      <c r="B39" s="15">
        <v>120697</v>
      </c>
      <c r="C39" s="15">
        <v>903</v>
      </c>
      <c r="D39" s="15">
        <v>158934</v>
      </c>
      <c r="E39" s="15">
        <v>159837</v>
      </c>
      <c r="F39" s="15">
        <v>170425</v>
      </c>
      <c r="G39" s="16">
        <f>IF(AND(F65&lt;&gt;0,170425&lt;&gt;0),IF(100*170425/(F65-0)&lt;0.005,"*",100*170425/(F65-0)),0)</f>
        <v>2.8786329175073413</v>
      </c>
    </row>
    <row r="40" spans="1:7" x14ac:dyDescent="0.2">
      <c r="A40" s="9" t="s">
        <v>128</v>
      </c>
      <c r="B40" s="15">
        <v>11477</v>
      </c>
      <c r="C40" s="15">
        <v>86</v>
      </c>
      <c r="D40" s="15">
        <v>15113</v>
      </c>
      <c r="E40" s="15">
        <v>15199</v>
      </c>
      <c r="F40" s="15">
        <v>16206</v>
      </c>
      <c r="G40" s="16">
        <f>IF(AND(F65&lt;&gt;0,16206&lt;&gt;0),IF(100*16206/(F65-0)&lt;0.005,"*",100*16206/(F65-0)),0)</f>
        <v>0.27373404759351017</v>
      </c>
    </row>
    <row r="41" spans="1:7" x14ac:dyDescent="0.2">
      <c r="A41" s="9" t="s">
        <v>129</v>
      </c>
      <c r="B41" s="15">
        <v>113992</v>
      </c>
      <c r="C41" s="15">
        <v>853</v>
      </c>
      <c r="D41" s="15">
        <v>150105</v>
      </c>
      <c r="E41" s="15">
        <v>150958</v>
      </c>
      <c r="F41" s="15">
        <v>160958</v>
      </c>
      <c r="G41" s="16">
        <f>IF(AND(F65&lt;&gt;0,160958&lt;&gt;0),IF(100*160958/(F65-0)&lt;0.005,"*",100*160958/(F65-0)),0)</f>
        <v>2.7187266958260032</v>
      </c>
    </row>
    <row r="42" spans="1:7" x14ac:dyDescent="0.2">
      <c r="A42" s="9" t="s">
        <v>130</v>
      </c>
      <c r="B42" s="15">
        <v>122442</v>
      </c>
      <c r="C42" s="15">
        <v>916</v>
      </c>
      <c r="D42" s="15">
        <v>161232</v>
      </c>
      <c r="E42" s="15">
        <v>162148</v>
      </c>
      <c r="F42" s="15">
        <v>172889</v>
      </c>
      <c r="G42" s="16">
        <f>IF(AND(F65&lt;&gt;0,172889&lt;&gt;0),IF(100*172889/(F65-0)&lt;0.005,"*",100*172889/(F65-0)),0)</f>
        <v>2.9202521136859425</v>
      </c>
    </row>
    <row r="43" spans="1:7" x14ac:dyDescent="0.2">
      <c r="A43" s="9" t="s">
        <v>131</v>
      </c>
      <c r="B43" s="15">
        <v>92157</v>
      </c>
      <c r="C43" s="15">
        <v>689</v>
      </c>
      <c r="D43" s="15">
        <v>121352</v>
      </c>
      <c r="E43" s="15">
        <v>122041</v>
      </c>
      <c r="F43" s="15">
        <v>130126</v>
      </c>
      <c r="G43" s="16">
        <f>IF(AND(F65&lt;&gt;0,130126&lt;&gt;0),IF(100*130126/(F65-0)&lt;0.005,"*",100*130126/(F65-0)),0)</f>
        <v>2.1979462345522092</v>
      </c>
    </row>
    <row r="44" spans="1:7" x14ac:dyDescent="0.2">
      <c r="A44" s="9" t="s">
        <v>132</v>
      </c>
      <c r="B44" s="15">
        <v>180813</v>
      </c>
      <c r="C44" s="15">
        <v>1352</v>
      </c>
      <c r="D44" s="15">
        <v>238095</v>
      </c>
      <c r="E44" s="15">
        <v>239447</v>
      </c>
      <c r="F44" s="15">
        <v>255309</v>
      </c>
      <c r="G44" s="16">
        <f>IF(AND(F65&lt;&gt;0,255309&lt;&gt;0),IF(100*255309/(F65-0)&lt;0.005,"*",100*255309/(F65-0)),0)</f>
        <v>4.3124007131341164</v>
      </c>
    </row>
    <row r="45" spans="1:7" x14ac:dyDescent="0.2">
      <c r="A45" s="9" t="s">
        <v>133</v>
      </c>
      <c r="B45" s="15">
        <v>13984</v>
      </c>
      <c r="C45" s="15">
        <v>105</v>
      </c>
      <c r="D45" s="15">
        <v>18414</v>
      </c>
      <c r="E45" s="15">
        <v>18519</v>
      </c>
      <c r="F45" s="15">
        <v>19746</v>
      </c>
      <c r="G45" s="16">
        <f>IF(AND(F65&lt;&gt;0,19746&lt;&gt;0),IF(100*19746/(F65-0)&lt;0.005,"*",100*19746/(F65-0)),0)</f>
        <v>0.33352786028516918</v>
      </c>
    </row>
    <row r="46" spans="1:7" x14ac:dyDescent="0.2">
      <c r="A46" s="9" t="s">
        <v>134</v>
      </c>
      <c r="B46" s="15">
        <v>39050</v>
      </c>
      <c r="C46" s="15">
        <v>292</v>
      </c>
      <c r="D46" s="15">
        <v>51421</v>
      </c>
      <c r="E46" s="15">
        <v>51713</v>
      </c>
      <c r="F46" s="15">
        <v>55139</v>
      </c>
      <c r="G46" s="16">
        <f>IF(AND(F65&lt;&gt;0,55139&lt;&gt;0),IF(100*55139/(F65-0)&lt;0.005,"*",100*55139/(F65-0)),0)</f>
        <v>0.93134775084897925</v>
      </c>
    </row>
    <row r="47" spans="1:7" x14ac:dyDescent="0.2">
      <c r="A47" s="9" t="s">
        <v>135</v>
      </c>
      <c r="B47" s="15">
        <v>8744</v>
      </c>
      <c r="C47" s="15">
        <v>65</v>
      </c>
      <c r="D47" s="15">
        <v>11514</v>
      </c>
      <c r="E47" s="15">
        <v>11579</v>
      </c>
      <c r="F47" s="15">
        <v>12347</v>
      </c>
      <c r="G47" s="16">
        <f>IF(AND(F65&lt;&gt;0,12347&lt;&gt;0),IF(100*12347/(F65-0)&lt;0.005,"*",100*12347/(F65-0)),0)</f>
        <v>0.20855203539658584</v>
      </c>
    </row>
    <row r="48" spans="1:7" x14ac:dyDescent="0.2">
      <c r="A48" s="9" t="s">
        <v>136</v>
      </c>
      <c r="B48" s="15">
        <v>77377</v>
      </c>
      <c r="C48" s="15">
        <v>579</v>
      </c>
      <c r="D48" s="15">
        <v>101890</v>
      </c>
      <c r="E48" s="15">
        <v>102469</v>
      </c>
      <c r="F48" s="15">
        <v>109257</v>
      </c>
      <c r="G48" s="16">
        <f>IF(AND(F65&lt;&gt;0,109257&lt;&gt;0),IF(100*109257/(F65-0)&lt;0.005,"*",100*109257/(F65-0)),0)</f>
        <v>1.8454498850996015</v>
      </c>
    </row>
    <row r="49" spans="1:7" x14ac:dyDescent="0.2">
      <c r="A49" s="9" t="s">
        <v>137</v>
      </c>
      <c r="B49" s="15">
        <v>218503</v>
      </c>
      <c r="C49" s="15">
        <v>1634</v>
      </c>
      <c r="D49" s="15">
        <v>287725</v>
      </c>
      <c r="E49" s="15">
        <v>289359</v>
      </c>
      <c r="F49" s="15">
        <v>308528</v>
      </c>
      <c r="G49" s="16">
        <f>IF(AND(F65&lt;&gt;0,308528&lt;&gt;0),IF(100*308528/(F65-0)&lt;0.005,"*",100*308528/(F65-0)),0)</f>
        <v>5.2113179215062635</v>
      </c>
    </row>
    <row r="50" spans="1:7" x14ac:dyDescent="0.2">
      <c r="A50" s="9" t="s">
        <v>138</v>
      </c>
      <c r="B50" s="15">
        <v>16865</v>
      </c>
      <c r="C50" s="15">
        <v>126</v>
      </c>
      <c r="D50" s="15">
        <v>22208</v>
      </c>
      <c r="E50" s="15">
        <v>22334</v>
      </c>
      <c r="F50" s="15">
        <v>23814</v>
      </c>
      <c r="G50" s="16">
        <f>IF(AND(F65&lt;&gt;0,23814&lt;&gt;0),IF(100*23814/(F65-0)&lt;0.005,"*",100*23814/(F65-0)),0)</f>
        <v>0.40224007215795698</v>
      </c>
    </row>
    <row r="51" spans="1:7" x14ac:dyDescent="0.2">
      <c r="A51" s="9" t="s">
        <v>139</v>
      </c>
      <c r="B51" s="15">
        <v>9099</v>
      </c>
      <c r="C51" s="15">
        <v>68</v>
      </c>
      <c r="D51" s="15">
        <v>11982</v>
      </c>
      <c r="E51" s="15">
        <v>12050</v>
      </c>
      <c r="F51" s="15">
        <v>12848</v>
      </c>
      <c r="G51" s="16">
        <f>IF(AND(F65&lt;&gt;0,12848&lt;&gt;0),IF(100*12848/(F65-0)&lt;0.005,"*",100*12848/(F65-0)),0)</f>
        <v>0.21701438007413421</v>
      </c>
    </row>
    <row r="52" spans="1:7" x14ac:dyDescent="0.2">
      <c r="A52" s="9" t="s">
        <v>140</v>
      </c>
      <c r="B52" s="15">
        <v>116926</v>
      </c>
      <c r="C52" s="15">
        <v>875</v>
      </c>
      <c r="D52" s="15">
        <v>153968</v>
      </c>
      <c r="E52" s="15">
        <v>154843</v>
      </c>
      <c r="F52" s="15">
        <v>165100</v>
      </c>
      <c r="G52" s="16">
        <f>IF(AND(F65&lt;&gt;0,165100&lt;&gt;0),IF(100*165100/(F65-0)&lt;0.005,"*",100*165100/(F65-0)),0)</f>
        <v>2.7886888348567522</v>
      </c>
    </row>
    <row r="53" spans="1:7" x14ac:dyDescent="0.2">
      <c r="A53" s="9" t="s">
        <v>141</v>
      </c>
      <c r="B53" s="15">
        <v>116217</v>
      </c>
      <c r="C53" s="15">
        <v>869</v>
      </c>
      <c r="D53" s="15">
        <v>153035</v>
      </c>
      <c r="E53" s="15">
        <v>153904</v>
      </c>
      <c r="F53" s="15">
        <v>164099</v>
      </c>
      <c r="G53" s="16">
        <f>IF(AND(F65&lt;&gt;0,164099&lt;&gt;0),IF(100*164099/(F65-0)&lt;0.005,"*",100*164099/(F65-0)),0)</f>
        <v>2.7717810364091959</v>
      </c>
    </row>
    <row r="54" spans="1:7" x14ac:dyDescent="0.2">
      <c r="A54" s="9" t="s">
        <v>142</v>
      </c>
      <c r="B54" s="15">
        <v>17918</v>
      </c>
      <c r="C54" s="15">
        <v>134</v>
      </c>
      <c r="D54" s="15">
        <v>23594</v>
      </c>
      <c r="E54" s="15">
        <v>23728</v>
      </c>
      <c r="F54" s="15">
        <v>25300</v>
      </c>
      <c r="G54" s="16">
        <f>IF(AND(F65&lt;&gt;0,25300&lt;&gt;0),IF(100*25300/(F65-0)&lt;0.005,"*",100*25300/(F65-0)),0)</f>
        <v>0.42733996076242181</v>
      </c>
    </row>
    <row r="55" spans="1:7" x14ac:dyDescent="0.2">
      <c r="A55" s="9" t="s">
        <v>143</v>
      </c>
      <c r="B55" s="15">
        <v>65187</v>
      </c>
      <c r="C55" s="15">
        <v>488</v>
      </c>
      <c r="D55" s="15">
        <v>85838</v>
      </c>
      <c r="E55" s="15">
        <v>86326</v>
      </c>
      <c r="F55" s="15">
        <v>92045</v>
      </c>
      <c r="G55" s="16">
        <f>IF(AND(F65&lt;&gt;0,92045&lt;&gt;0),IF(100*92045/(F65-0)&lt;0.005,"*",100*92045/(F65-0)),0)</f>
        <v>1.5547235845208345</v>
      </c>
    </row>
    <row r="56" spans="1:7" x14ac:dyDescent="0.2">
      <c r="A56" s="9" t="s">
        <v>144</v>
      </c>
      <c r="B56" s="15">
        <v>7208</v>
      </c>
      <c r="C56" s="15">
        <v>54</v>
      </c>
      <c r="D56" s="15">
        <v>9492</v>
      </c>
      <c r="E56" s="15">
        <v>9546</v>
      </c>
      <c r="F56" s="15">
        <v>10178</v>
      </c>
      <c r="G56" s="16">
        <f>IF(AND(F65&lt;&gt;0,10178&lt;&gt;0),IF(100*10178/(F65-0)&lt;0.005,"*",100*10178/(F65-0)),0)</f>
        <v>0.17191565694228969</v>
      </c>
    </row>
    <row r="57" spans="1:7" x14ac:dyDescent="0.2">
      <c r="A57" s="9" t="s">
        <v>145</v>
      </c>
      <c r="B57" s="15">
        <v>0</v>
      </c>
      <c r="C57" s="15">
        <v>0</v>
      </c>
      <c r="D57" s="15">
        <v>0</v>
      </c>
      <c r="E57" s="15">
        <v>0</v>
      </c>
      <c r="F57" s="15">
        <v>0</v>
      </c>
      <c r="G57" s="16">
        <f>IF(AND(F65&lt;&gt;0,0&lt;&gt;0),IF(100*0/(F65-0)&lt;0.005,"*",100*0/(F65-0)),0)</f>
        <v>0</v>
      </c>
    </row>
    <row r="58" spans="1:7" x14ac:dyDescent="0.2">
      <c r="A58" s="9" t="s">
        <v>146</v>
      </c>
      <c r="B58" s="15">
        <v>2042</v>
      </c>
      <c r="C58" s="15">
        <v>15</v>
      </c>
      <c r="D58" s="15">
        <v>2689</v>
      </c>
      <c r="E58" s="15">
        <v>2704</v>
      </c>
      <c r="F58" s="15">
        <v>2883</v>
      </c>
      <c r="G58" s="16">
        <f>IF(AND(F65&lt;&gt;0,2883&lt;&gt;0),IF(100*2883/(F65-0)&lt;0.005,"*",100*2883/(F65-0)),0)</f>
        <v>4.8696486437868065E-2</v>
      </c>
    </row>
    <row r="59" spans="1:7" x14ac:dyDescent="0.2">
      <c r="A59" s="9" t="s">
        <v>147</v>
      </c>
      <c r="B59" s="15">
        <v>0</v>
      </c>
      <c r="C59" s="15">
        <v>0</v>
      </c>
      <c r="D59" s="15">
        <v>0</v>
      </c>
      <c r="E59" s="15">
        <v>0</v>
      </c>
      <c r="F59" s="15">
        <v>0</v>
      </c>
      <c r="G59" s="16">
        <f>IF(AND(F65&lt;&gt;0,0&lt;&gt;0),IF(100*0/(F65-0)&lt;0.005,"*",100*0/(F65-0)),0)</f>
        <v>0</v>
      </c>
    </row>
    <row r="60" spans="1:7" x14ac:dyDescent="0.2">
      <c r="A60" s="9" t="s">
        <v>148</v>
      </c>
      <c r="B60" s="15">
        <v>0</v>
      </c>
      <c r="C60" s="15">
        <v>0</v>
      </c>
      <c r="D60" s="15">
        <v>0</v>
      </c>
      <c r="E60" s="15">
        <v>0</v>
      </c>
      <c r="F60" s="15">
        <v>0</v>
      </c>
      <c r="G60" s="16">
        <f>IF(AND(F65&lt;&gt;0,0&lt;&gt;0),IF(100*0/(F65-0)&lt;0.005,"*",100*0/(F65-0)),0)</f>
        <v>0</v>
      </c>
    </row>
    <row r="61" spans="1:7" x14ac:dyDescent="0.2">
      <c r="A61" s="9" t="s">
        <v>149</v>
      </c>
      <c r="B61" s="15">
        <v>0</v>
      </c>
      <c r="C61" s="15">
        <v>0</v>
      </c>
      <c r="D61" s="15">
        <v>0</v>
      </c>
      <c r="E61" s="15">
        <v>0</v>
      </c>
      <c r="F61" s="15">
        <v>0</v>
      </c>
      <c r="G61" s="16">
        <f>IF(AND(F65&lt;&gt;0,0&lt;&gt;0),IF(100*0/(F65-0)&lt;0.005,"*",100*0/(F65-0)),0)</f>
        <v>0</v>
      </c>
    </row>
    <row r="62" spans="1:7" x14ac:dyDescent="0.2">
      <c r="A62" s="9" t="s">
        <v>150</v>
      </c>
      <c r="B62" s="15">
        <v>4956</v>
      </c>
      <c r="C62" s="15">
        <v>37</v>
      </c>
      <c r="D62" s="15">
        <v>6526</v>
      </c>
      <c r="E62" s="15">
        <v>6563</v>
      </c>
      <c r="F62" s="15">
        <v>6998</v>
      </c>
      <c r="G62" s="16">
        <f>IF(AND(F65&lt;&gt;0,6998&lt;&gt;0),IF(100*6998/(F65-0)&lt;0.005,"*",100*6998/(F65-0)),0)</f>
        <v>0.11820257096503667</v>
      </c>
    </row>
    <row r="63" spans="1:7" x14ac:dyDescent="0.2">
      <c r="A63" s="9" t="s">
        <v>151</v>
      </c>
      <c r="B63" s="15">
        <v>0</v>
      </c>
      <c r="C63" s="15">
        <v>0</v>
      </c>
      <c r="D63" s="15">
        <v>0</v>
      </c>
      <c r="E63" s="15">
        <v>0</v>
      </c>
      <c r="F63" s="15">
        <v>0</v>
      </c>
      <c r="G63" s="16">
        <f>IF(AND(F65&lt;&gt;0,0&lt;&gt;0),IF(100*0/(F65-0)&lt;0.005,"*",100*0/(F65-0)),0)</f>
        <v>0</v>
      </c>
    </row>
    <row r="64" spans="1:7" x14ac:dyDescent="0.2">
      <c r="A64" s="9" t="s">
        <v>152</v>
      </c>
      <c r="B64" s="15">
        <v>639344</v>
      </c>
      <c r="C64" s="15">
        <v>0</v>
      </c>
      <c r="D64" s="15">
        <v>0</v>
      </c>
      <c r="E64" s="15">
        <v>0</v>
      </c>
      <c r="F64" s="15">
        <v>0</v>
      </c>
      <c r="G64" s="16">
        <v>0</v>
      </c>
    </row>
    <row r="65" spans="1:7" ht="15" customHeight="1" x14ac:dyDescent="0.2">
      <c r="A65" s="17" t="s">
        <v>93</v>
      </c>
      <c r="B65" s="18">
        <f>50477+10245+69742+33141+931272+58268+56165+12926+22139+107267+98182+21386+11100+109276+58034+20975+26523+62477+67261+15474+68479+64407+92639+69649+26471+49582+10150+19307+27815+9568+162852+31607+362346+120697+11477+113992+122442+92157+180813+13984+39050+8744+77377+218503+16865+9099+116926+116217+17918+65187+7208+0+2042+0+0+0+4956+0+639344+0</f>
        <v>4832200</v>
      </c>
      <c r="C65" s="18">
        <f>378+77+522+248+6966+436+420+97+166+802+734+160+83+817+434+157+198+467+503+116+512+482+693+521+198+371+76+144+208+72+1218+236+2710+903+86+853+916+689+1352+105+292+65+579+1634+126+68+875+869+134+488+54+0+15+0+0+0+37+0+0+0</f>
        <v>31362</v>
      </c>
      <c r="D65" s="18">
        <f>66468+13491+91836+43640+1226301+76727+73958+17021+29153+141249+129286+28161+14616+143895+76419+27620+34926+82270+88569+20376+90173+84811+121987+91714+34857+65290+13366+25423+36627+12599+214444+41620+477138+158934+15113+150105+161232+121352+238095+18414+51421+11514+101890+287725+22208+11982+153968+153035+23594+85838+9492+0+2689+0+0+0+6526+0+0+0</f>
        <v>5521158</v>
      </c>
      <c r="E65" s="18">
        <f>SUM(C65:D65)</f>
        <v>5552520</v>
      </c>
      <c r="F65" s="18">
        <f>71274+14466+98476+46795+1314964+82275+79305+18252+31260+151462+138634+30197+15673+154299+81944+29617+37451+88218+94973+21849+96693+90943+130807+98345+37377+70010+14332+27262+39275+13510+229948+44629+511635+170425+16206+160958+172889+130126+255309+19746+55139+12347+109257+308528+23814+12848+165100+164099+25300+92045+10178+0+2883+0+0+0+6998+0+0+0</f>
        <v>5920345</v>
      </c>
      <c r="G65" s="19" t="s">
        <v>153</v>
      </c>
    </row>
    <row r="66" spans="1:7" ht="15" customHeight="1" x14ac:dyDescent="0.2">
      <c r="A66" s="66" t="s">
        <v>155</v>
      </c>
      <c r="B66" s="66"/>
      <c r="C66" s="66"/>
      <c r="D66" s="66"/>
      <c r="E66" s="66"/>
      <c r="F66" s="66"/>
      <c r="G66" s="66"/>
    </row>
  </sheetData>
  <mergeCells count="5">
    <mergeCell ref="A66:G66"/>
    <mergeCell ref="A4:A5"/>
    <mergeCell ref="B4:B5"/>
    <mergeCell ref="F4:F5"/>
    <mergeCell ref="G4:G5"/>
  </mergeCells>
  <pageMargins left="0.7" right="0.7" top="0.75" bottom="0.7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8</vt:i4>
      </vt:variant>
    </vt:vector>
  </HeadingPairs>
  <TitlesOfParts>
    <vt:vector size="47" baseType="lpstr">
      <vt:lpstr>Overview</vt:lpstr>
      <vt:lpstr>TOC</vt:lpstr>
      <vt:lpstr>Summary of Programs</vt:lpstr>
      <vt:lpstr>State Summary</vt:lpstr>
      <vt:lpstr>Table 17-5</vt:lpstr>
      <vt:lpstr>Table 17-6</vt:lpstr>
      <vt:lpstr>Table 17-7</vt:lpstr>
      <vt:lpstr>Table 17-8</vt:lpstr>
      <vt:lpstr>Table 17-9</vt:lpstr>
      <vt:lpstr>Table 17-10</vt:lpstr>
      <vt:lpstr>Table 17-11</vt:lpstr>
      <vt:lpstr>Table 17-12</vt:lpstr>
      <vt:lpstr>Table 17-13</vt:lpstr>
      <vt:lpstr>Table 17-14</vt:lpstr>
      <vt:lpstr>Table 17-15</vt:lpstr>
      <vt:lpstr>Table 17-16</vt:lpstr>
      <vt:lpstr>Table 17-17</vt:lpstr>
      <vt:lpstr>Table 17-18</vt:lpstr>
      <vt:lpstr>Table 17-19</vt:lpstr>
      <vt:lpstr>Table 17-20</vt:lpstr>
      <vt:lpstr>Table 17-21</vt:lpstr>
      <vt:lpstr>Table 17-22</vt:lpstr>
      <vt:lpstr>Table 17-23</vt:lpstr>
      <vt:lpstr>Table 17-24</vt:lpstr>
      <vt:lpstr>Table 17-25</vt:lpstr>
      <vt:lpstr>Table 17-26</vt:lpstr>
      <vt:lpstr>Table 17-27</vt:lpstr>
      <vt:lpstr>Table 17-28</vt:lpstr>
      <vt:lpstr>Table 17-29</vt:lpstr>
      <vt:lpstr>Table 17-30</vt:lpstr>
      <vt:lpstr>Table 17-31</vt:lpstr>
      <vt:lpstr>Table 17-32</vt:lpstr>
      <vt:lpstr>Table 17-33</vt:lpstr>
      <vt:lpstr>Table 17-34</vt:lpstr>
      <vt:lpstr>Table 17-35</vt:lpstr>
      <vt:lpstr>Table 17-36</vt:lpstr>
      <vt:lpstr>Table 17-37</vt:lpstr>
      <vt:lpstr>Table 17-38</vt:lpstr>
      <vt:lpstr>Table 17-39</vt:lpstr>
      <vt:lpstr>Overview!Print_Area</vt:lpstr>
      <vt:lpstr>'Table 17-10'!Print_Area</vt:lpstr>
      <vt:lpstr>'Table 17-5'!Print_Area</vt:lpstr>
      <vt:lpstr>'Table 17-6'!Print_Area</vt:lpstr>
      <vt:lpstr>'Table 17-7'!Print_Area</vt:lpstr>
      <vt:lpstr>'Table 17-8'!Print_Area</vt:lpstr>
      <vt:lpstr>'Table 17-9'!Print_Area</vt:lpstr>
      <vt:lpstr>TOC!Print_Area</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OMB</dc:creator>
  <cp:lastModifiedBy>Lauer, Eric</cp:lastModifiedBy>
  <cp:lastPrinted>2019-03-12T14:13:52Z</cp:lastPrinted>
  <dcterms:created xsi:type="dcterms:W3CDTF">2019-03-11T17:12:01Z</dcterms:created>
  <dcterms:modified xsi:type="dcterms:W3CDTF">2019-03-14T19:38:11Z</dcterms:modified>
</cp:coreProperties>
</file>