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hoto\Bud2019\Spreadsheets\bis\"/>
    </mc:Choice>
  </mc:AlternateContent>
  <bookViews>
    <workbookView xWindow="0" yWindow="0" windowWidth="14685" windowHeight="5235"/>
  </bookViews>
  <sheets>
    <sheet name="Overview" sheetId="37" r:id="rId1"/>
    <sheet name="TOC" sheetId="1" r:id="rId2"/>
    <sheet name="Summary of Programs" sheetId="38" r:id="rId3"/>
    <sheet name="State Summary" sheetId="39" r:id="rId4"/>
    <sheet name="Table 14-5" sheetId="2" r:id="rId5"/>
    <sheet name="Table 14-6" sheetId="3" r:id="rId6"/>
    <sheet name="Table 14-7" sheetId="4" r:id="rId7"/>
    <sheet name="Table 14-8" sheetId="5" r:id="rId8"/>
    <sheet name="Table 14-9" sheetId="6" r:id="rId9"/>
    <sheet name="Table 14-10" sheetId="7" r:id="rId10"/>
    <sheet name="Table 14-11" sheetId="8" r:id="rId11"/>
    <sheet name="Table 14-12" sheetId="9" r:id="rId12"/>
    <sheet name="Table 14-13" sheetId="10" r:id="rId13"/>
    <sheet name="Table 14-14" sheetId="11" r:id="rId14"/>
    <sheet name="Table 14-15" sheetId="12" r:id="rId15"/>
    <sheet name="Table 14-16" sheetId="13" r:id="rId16"/>
    <sheet name="Table 14-17" sheetId="14" r:id="rId17"/>
    <sheet name="Table 14-18" sheetId="15" r:id="rId18"/>
    <sheet name="Table 14-19" sheetId="16" r:id="rId19"/>
    <sheet name="Table 14-20" sheetId="17" r:id="rId20"/>
    <sheet name="Table 14-21" sheetId="18" r:id="rId21"/>
    <sheet name="Table 14-22" sheetId="19" r:id="rId22"/>
    <sheet name="Table 14-23" sheetId="20" r:id="rId23"/>
    <sheet name="Table 14-24" sheetId="21" r:id="rId24"/>
    <sheet name="Table 14-25" sheetId="22" r:id="rId25"/>
    <sheet name="Table 14-26" sheetId="23" r:id="rId26"/>
    <sheet name="Table 14-27" sheetId="24" r:id="rId27"/>
    <sheet name="Table 14-28" sheetId="25" r:id="rId28"/>
    <sheet name="Table 14-29" sheetId="26" r:id="rId29"/>
    <sheet name="Table 14-30" sheetId="27" r:id="rId30"/>
    <sheet name="Table 14-31" sheetId="28" r:id="rId31"/>
    <sheet name="Table 14-32" sheetId="29" r:id="rId32"/>
    <sheet name="Table 14-33" sheetId="30" r:id="rId33"/>
    <sheet name="Table 14-34" sheetId="31" r:id="rId34"/>
    <sheet name="Table 14-35" sheetId="32" r:id="rId35"/>
    <sheet name="Table 14-36" sheetId="33" r:id="rId36"/>
    <sheet name="Table 14-37" sheetId="34" r:id="rId37"/>
    <sheet name="Table 14-38" sheetId="35" r:id="rId38"/>
    <sheet name="Table 14-39" sheetId="36" r:id="rId39"/>
  </sheets>
  <calcPr calcId="162913"/>
</workbook>
</file>

<file path=xl/calcChain.xml><?xml version="1.0" encoding="utf-8"?>
<calcChain xmlns="http://schemas.openxmlformats.org/spreadsheetml/2006/main">
  <c r="F66" i="39" l="1"/>
  <c r="D66" i="39"/>
  <c r="B66" i="39"/>
  <c r="F59" i="39"/>
  <c r="B6" i="39" l="1"/>
  <c r="C6" i="39"/>
  <c r="D6" i="39"/>
  <c r="F6" i="39"/>
  <c r="B7" i="39"/>
  <c r="C7" i="39"/>
  <c r="D7" i="39"/>
  <c r="E7" i="39" s="1"/>
  <c r="F7" i="39"/>
  <c r="B8" i="39"/>
  <c r="C8" i="39"/>
  <c r="D8" i="39"/>
  <c r="F8" i="39"/>
  <c r="B9" i="39"/>
  <c r="C9" i="39"/>
  <c r="D9" i="39"/>
  <c r="E9" i="39" s="1"/>
  <c r="F9" i="39"/>
  <c r="B10" i="39"/>
  <c r="C10" i="39"/>
  <c r="D10" i="39"/>
  <c r="F10" i="39"/>
  <c r="B11" i="39"/>
  <c r="C11" i="39"/>
  <c r="D11" i="39"/>
  <c r="E11" i="39" s="1"/>
  <c r="F11" i="39"/>
  <c r="B12" i="39"/>
  <c r="C12" i="39"/>
  <c r="D12" i="39"/>
  <c r="F12" i="39"/>
  <c r="B13" i="39"/>
  <c r="C13" i="39"/>
  <c r="D13" i="39"/>
  <c r="E13" i="39" s="1"/>
  <c r="F13" i="39"/>
  <c r="B14" i="39"/>
  <c r="C14" i="39"/>
  <c r="D14" i="39"/>
  <c r="F14" i="39"/>
  <c r="B15" i="39"/>
  <c r="C15" i="39"/>
  <c r="D15" i="39"/>
  <c r="E15" i="39" s="1"/>
  <c r="F15" i="39"/>
  <c r="B16" i="39"/>
  <c r="C16" i="39"/>
  <c r="D16" i="39"/>
  <c r="F16" i="39"/>
  <c r="B17" i="39"/>
  <c r="C17" i="39"/>
  <c r="D17" i="39"/>
  <c r="E17" i="39" s="1"/>
  <c r="F17" i="39"/>
  <c r="B18" i="39"/>
  <c r="C18" i="39"/>
  <c r="D18" i="39"/>
  <c r="F18" i="39"/>
  <c r="B19" i="39"/>
  <c r="C19" i="39"/>
  <c r="D19" i="39"/>
  <c r="E19" i="39" s="1"/>
  <c r="F19" i="39"/>
  <c r="B20" i="39"/>
  <c r="C20" i="39"/>
  <c r="D20" i="39"/>
  <c r="F20" i="39"/>
  <c r="B21" i="39"/>
  <c r="C21" i="39"/>
  <c r="D21" i="39"/>
  <c r="E21" i="39" s="1"/>
  <c r="F21" i="39"/>
  <c r="B22" i="39"/>
  <c r="C22" i="39"/>
  <c r="D22" i="39"/>
  <c r="F22" i="39"/>
  <c r="B23" i="39"/>
  <c r="C23" i="39"/>
  <c r="D23" i="39"/>
  <c r="E23" i="39" s="1"/>
  <c r="F23" i="39"/>
  <c r="B24" i="39"/>
  <c r="C24" i="39"/>
  <c r="D24" i="39"/>
  <c r="F24" i="39"/>
  <c r="B25" i="39"/>
  <c r="C25" i="39"/>
  <c r="D25" i="39"/>
  <c r="E25" i="39" s="1"/>
  <c r="F25" i="39"/>
  <c r="B26" i="39"/>
  <c r="C26" i="39"/>
  <c r="D26" i="39"/>
  <c r="F26" i="39"/>
  <c r="B27" i="39"/>
  <c r="C27" i="39"/>
  <c r="D27" i="39"/>
  <c r="E27" i="39" s="1"/>
  <c r="F27" i="39"/>
  <c r="B28" i="39"/>
  <c r="C28" i="39"/>
  <c r="D28" i="39"/>
  <c r="F28" i="39"/>
  <c r="B29" i="39"/>
  <c r="C29" i="39"/>
  <c r="D29" i="39"/>
  <c r="E29" i="39" s="1"/>
  <c r="F29" i="39"/>
  <c r="B30" i="39"/>
  <c r="C30" i="39"/>
  <c r="D30" i="39"/>
  <c r="F30" i="39"/>
  <c r="B31" i="39"/>
  <c r="C31" i="39"/>
  <c r="D31" i="39"/>
  <c r="E31" i="39" s="1"/>
  <c r="F31" i="39"/>
  <c r="B32" i="39"/>
  <c r="C32" i="39"/>
  <c r="D32" i="39"/>
  <c r="F32" i="39"/>
  <c r="B33" i="39"/>
  <c r="C33" i="39"/>
  <c r="D33" i="39"/>
  <c r="E33" i="39" s="1"/>
  <c r="F33" i="39"/>
  <c r="B34" i="39"/>
  <c r="C34" i="39"/>
  <c r="D34" i="39"/>
  <c r="F34" i="39"/>
  <c r="B35" i="39"/>
  <c r="C35" i="39"/>
  <c r="D35" i="39"/>
  <c r="E35" i="39" s="1"/>
  <c r="F35" i="39"/>
  <c r="B36" i="39"/>
  <c r="C36" i="39"/>
  <c r="D36" i="39"/>
  <c r="F36" i="39"/>
  <c r="B37" i="39"/>
  <c r="B64" i="39" s="1"/>
  <c r="B67" i="39" s="1"/>
  <c r="C37" i="39"/>
  <c r="D37" i="39"/>
  <c r="E37" i="39" s="1"/>
  <c r="F37" i="39"/>
  <c r="B38" i="39"/>
  <c r="C38" i="39"/>
  <c r="D38" i="39"/>
  <c r="F38" i="39"/>
  <c r="B39" i="39"/>
  <c r="C39" i="39"/>
  <c r="D39" i="39"/>
  <c r="E39" i="39" s="1"/>
  <c r="F39" i="39"/>
  <c r="B40" i="39"/>
  <c r="C40" i="39"/>
  <c r="D40" i="39"/>
  <c r="F40" i="39"/>
  <c r="B41" i="39"/>
  <c r="C41" i="39"/>
  <c r="D41" i="39"/>
  <c r="E41" i="39" s="1"/>
  <c r="F41" i="39"/>
  <c r="B42" i="39"/>
  <c r="C42" i="39"/>
  <c r="D42" i="39"/>
  <c r="F42" i="39"/>
  <c r="B43" i="39"/>
  <c r="C43" i="39"/>
  <c r="D43" i="39"/>
  <c r="E43" i="39" s="1"/>
  <c r="F43" i="39"/>
  <c r="B44" i="39"/>
  <c r="C44" i="39"/>
  <c r="D44" i="39"/>
  <c r="F44" i="39"/>
  <c r="B45" i="39"/>
  <c r="C45" i="39"/>
  <c r="D45" i="39"/>
  <c r="E45" i="39" s="1"/>
  <c r="F45" i="39"/>
  <c r="B46" i="39"/>
  <c r="C46" i="39"/>
  <c r="D46" i="39"/>
  <c r="F46" i="39"/>
  <c r="B47" i="39"/>
  <c r="C47" i="39"/>
  <c r="D47" i="39"/>
  <c r="E47" i="39" s="1"/>
  <c r="F47" i="39"/>
  <c r="B48" i="39"/>
  <c r="C48" i="39"/>
  <c r="D48" i="39"/>
  <c r="F48" i="39"/>
  <c r="B49" i="39"/>
  <c r="C49" i="39"/>
  <c r="D49" i="39"/>
  <c r="E49" i="39" s="1"/>
  <c r="F49" i="39"/>
  <c r="B50" i="39"/>
  <c r="C50" i="39"/>
  <c r="D50" i="39"/>
  <c r="F50" i="39"/>
  <c r="B51" i="39"/>
  <c r="C51" i="39"/>
  <c r="D51" i="39"/>
  <c r="E51" i="39" s="1"/>
  <c r="F51" i="39"/>
  <c r="B52" i="39"/>
  <c r="C52" i="39"/>
  <c r="D52" i="39"/>
  <c r="F52" i="39"/>
  <c r="B53" i="39"/>
  <c r="C53" i="39"/>
  <c r="D53" i="39"/>
  <c r="E53" i="39" s="1"/>
  <c r="F53" i="39"/>
  <c r="B54" i="39"/>
  <c r="C54" i="39"/>
  <c r="D54" i="39"/>
  <c r="F54" i="39"/>
  <c r="B55" i="39"/>
  <c r="C55" i="39"/>
  <c r="D55" i="39"/>
  <c r="E55" i="39" s="1"/>
  <c r="F55" i="39"/>
  <c r="B56" i="39"/>
  <c r="C56" i="39"/>
  <c r="D56" i="39"/>
  <c r="F56" i="39"/>
  <c r="B57" i="39"/>
  <c r="C57" i="39"/>
  <c r="D57" i="39"/>
  <c r="E57" i="39" s="1"/>
  <c r="F57" i="39"/>
  <c r="B58" i="39"/>
  <c r="C58" i="39"/>
  <c r="D58" i="39"/>
  <c r="F58" i="39"/>
  <c r="B59" i="39"/>
  <c r="C59" i="39"/>
  <c r="D59" i="39"/>
  <c r="E59" i="39" s="1"/>
  <c r="B60" i="39"/>
  <c r="C60" i="39"/>
  <c r="E60" i="39" s="1"/>
  <c r="D60" i="39"/>
  <c r="F60" i="39"/>
  <c r="F64" i="39" s="1"/>
  <c r="G6" i="39" s="1"/>
  <c r="B61" i="39"/>
  <c r="C61" i="39"/>
  <c r="D61" i="39"/>
  <c r="F61" i="39"/>
  <c r="B62" i="39"/>
  <c r="C62" i="39"/>
  <c r="E62" i="39" s="1"/>
  <c r="D62" i="39"/>
  <c r="F62" i="39"/>
  <c r="B63" i="39"/>
  <c r="C63" i="39"/>
  <c r="D63" i="39"/>
  <c r="F63" i="39"/>
  <c r="C64" i="39"/>
  <c r="C67" i="39" s="1"/>
  <c r="C66" i="39"/>
  <c r="E66" i="39" s="1"/>
  <c r="E63" i="39" l="1"/>
  <c r="E61" i="39"/>
  <c r="E58" i="39"/>
  <c r="E56" i="39"/>
  <c r="E54" i="39"/>
  <c r="E52" i="39"/>
  <c r="E50" i="39"/>
  <c r="E48" i="39"/>
  <c r="E46" i="39"/>
  <c r="E44" i="39"/>
  <c r="E42" i="39"/>
  <c r="E40" i="39"/>
  <c r="E38" i="39"/>
  <c r="E36" i="39"/>
  <c r="E34" i="39"/>
  <c r="E32" i="39"/>
  <c r="E30" i="39"/>
  <c r="E28" i="39"/>
  <c r="E26" i="39"/>
  <c r="E24" i="39"/>
  <c r="E22" i="39"/>
  <c r="E20" i="39"/>
  <c r="E18" i="39"/>
  <c r="E16" i="39"/>
  <c r="E14" i="39"/>
  <c r="E12" i="39"/>
  <c r="E10" i="39"/>
  <c r="E8" i="39"/>
  <c r="E6" i="39"/>
  <c r="E64" i="39" s="1"/>
  <c r="E67" i="39" s="1"/>
  <c r="F67" i="39"/>
  <c r="G63" i="39"/>
  <c r="G61" i="39"/>
  <c r="G59" i="39"/>
  <c r="G57" i="39"/>
  <c r="G55" i="39"/>
  <c r="G53" i="39"/>
  <c r="G51" i="39"/>
  <c r="G49" i="39"/>
  <c r="G47" i="39"/>
  <c r="G45" i="39"/>
  <c r="G43" i="39"/>
  <c r="G41" i="39"/>
  <c r="G39" i="39"/>
  <c r="G37" i="39"/>
  <c r="G35" i="39"/>
  <c r="G33" i="39"/>
  <c r="G31" i="39"/>
  <c r="G29" i="39"/>
  <c r="G27" i="39"/>
  <c r="G25" i="39"/>
  <c r="G23" i="39"/>
  <c r="G21" i="39"/>
  <c r="G19" i="39"/>
  <c r="G17" i="39"/>
  <c r="G15" i="39"/>
  <c r="G13" i="39"/>
  <c r="G11" i="39"/>
  <c r="G9" i="39"/>
  <c r="G7" i="39"/>
  <c r="D64" i="39"/>
  <c r="D67" i="39" s="1"/>
  <c r="G62" i="39"/>
  <c r="G60" i="39"/>
  <c r="G58" i="39"/>
  <c r="G56" i="39"/>
  <c r="G54" i="39"/>
  <c r="G52" i="39"/>
  <c r="G50" i="39"/>
  <c r="G48" i="39"/>
  <c r="G46" i="39"/>
  <c r="G44" i="39"/>
  <c r="G42" i="39"/>
  <c r="G40" i="39"/>
  <c r="G38" i="39"/>
  <c r="G36" i="39"/>
  <c r="G34" i="39"/>
  <c r="G32" i="39"/>
  <c r="G30" i="39"/>
  <c r="G28" i="39"/>
  <c r="G26" i="39"/>
  <c r="G24" i="39"/>
  <c r="G22" i="39"/>
  <c r="G20" i="39"/>
  <c r="G18" i="39"/>
  <c r="G16" i="39"/>
  <c r="G14" i="39"/>
  <c r="G12" i="39"/>
  <c r="G10" i="39"/>
  <c r="G8" i="39"/>
  <c r="B6" i="38"/>
  <c r="C6" i="38"/>
  <c r="E6" i="38" s="1"/>
  <c r="D6" i="38"/>
  <c r="F6" i="38"/>
  <c r="B7" i="38"/>
  <c r="C7" i="38"/>
  <c r="E7" i="38" s="1"/>
  <c r="D7" i="38"/>
  <c r="F7" i="38"/>
  <c r="B8" i="38"/>
  <c r="C8" i="38"/>
  <c r="D8" i="38"/>
  <c r="E8" i="38" s="1"/>
  <c r="F8" i="38"/>
  <c r="B9" i="38"/>
  <c r="C9" i="38"/>
  <c r="D9" i="38"/>
  <c r="F9" i="38"/>
  <c r="B10" i="38"/>
  <c r="C10" i="38"/>
  <c r="D10" i="38"/>
  <c r="F10" i="38"/>
  <c r="B12" i="38"/>
  <c r="C12" i="38"/>
  <c r="D12" i="38"/>
  <c r="E12" i="38"/>
  <c r="F12" i="38"/>
  <c r="B13" i="38"/>
  <c r="C13" i="38"/>
  <c r="D13" i="38"/>
  <c r="E13" i="38" s="1"/>
  <c r="F13" i="38"/>
  <c r="B15" i="38"/>
  <c r="C15" i="38"/>
  <c r="D15" i="38"/>
  <c r="F15" i="38"/>
  <c r="B16" i="38"/>
  <c r="C16" i="38"/>
  <c r="D16" i="38"/>
  <c r="F16" i="38"/>
  <c r="B18" i="38"/>
  <c r="C18" i="38"/>
  <c r="D18" i="38"/>
  <c r="E18" i="38"/>
  <c r="F18" i="38"/>
  <c r="B21" i="38"/>
  <c r="C21" i="38"/>
  <c r="D21" i="38"/>
  <c r="F21" i="38"/>
  <c r="B22" i="38"/>
  <c r="C22" i="38"/>
  <c r="D22" i="38"/>
  <c r="F22" i="38"/>
  <c r="B23" i="38"/>
  <c r="C23" i="38"/>
  <c r="E23" i="38" s="1"/>
  <c r="D23" i="38"/>
  <c r="F23" i="38"/>
  <c r="B24" i="38"/>
  <c r="C24" i="38"/>
  <c r="D24" i="38"/>
  <c r="F24" i="38"/>
  <c r="B25" i="38"/>
  <c r="C25" i="38"/>
  <c r="E25" i="38" s="1"/>
  <c r="D25" i="38"/>
  <c r="F25" i="38"/>
  <c r="B26" i="38"/>
  <c r="C26" i="38"/>
  <c r="E26" i="38" s="1"/>
  <c r="D26" i="38"/>
  <c r="F26" i="38"/>
  <c r="B27" i="38"/>
  <c r="C27" i="38"/>
  <c r="E27" i="38" s="1"/>
  <c r="D27" i="38"/>
  <c r="F27" i="38"/>
  <c r="B28" i="38"/>
  <c r="C28" i="38"/>
  <c r="D28" i="38"/>
  <c r="E28" i="38" s="1"/>
  <c r="F28" i="38"/>
  <c r="B29" i="38"/>
  <c r="C29" i="38"/>
  <c r="D29" i="38"/>
  <c r="F29" i="38"/>
  <c r="B30" i="38"/>
  <c r="C30" i="38"/>
  <c r="D30" i="38"/>
  <c r="F30" i="38"/>
  <c r="B32" i="38"/>
  <c r="C32" i="38"/>
  <c r="D32" i="38"/>
  <c r="E32" i="38"/>
  <c r="F32" i="38"/>
  <c r="B34" i="38"/>
  <c r="C34" i="38"/>
  <c r="D34" i="38"/>
  <c r="E34" i="38" s="1"/>
  <c r="F34" i="38"/>
  <c r="B36" i="38"/>
  <c r="C36" i="38"/>
  <c r="D36" i="38"/>
  <c r="F36" i="38"/>
  <c r="B37" i="38"/>
  <c r="C37" i="38"/>
  <c r="D37" i="38"/>
  <c r="F37" i="38"/>
  <c r="B38" i="38"/>
  <c r="C38" i="38"/>
  <c r="D38" i="38"/>
  <c r="E38" i="38"/>
  <c r="F38" i="38"/>
  <c r="B40" i="38"/>
  <c r="C40" i="38"/>
  <c r="D40" i="38"/>
  <c r="E40" i="38" s="1"/>
  <c r="F40" i="38"/>
  <c r="B41" i="38"/>
  <c r="C41" i="38"/>
  <c r="D41" i="38"/>
  <c r="F41" i="38"/>
  <c r="B43" i="38"/>
  <c r="C43" i="38"/>
  <c r="D43" i="38"/>
  <c r="F43" i="38"/>
  <c r="B45" i="38"/>
  <c r="C45" i="38"/>
  <c r="E45" i="38" s="1"/>
  <c r="D45" i="38"/>
  <c r="F45" i="38"/>
  <c r="B47" i="38"/>
  <c r="C47" i="38"/>
  <c r="D47" i="38"/>
  <c r="F47" i="38"/>
  <c r="B49" i="38"/>
  <c r="C49" i="38"/>
  <c r="E49" i="38" s="1"/>
  <c r="D49" i="38"/>
  <c r="F49" i="38"/>
  <c r="B51" i="38"/>
  <c r="C51" i="38"/>
  <c r="E51" i="38" s="1"/>
  <c r="D51" i="38"/>
  <c r="F51" i="38"/>
  <c r="B52" i="38"/>
  <c r="C52" i="38"/>
  <c r="E52" i="38" s="1"/>
  <c r="D52" i="38"/>
  <c r="F52" i="38"/>
  <c r="B54" i="38"/>
  <c r="C54" i="38"/>
  <c r="D54" i="38"/>
  <c r="E54" i="38" s="1"/>
  <c r="F54" i="38"/>
  <c r="C55" i="38"/>
  <c r="E43" i="38" l="1"/>
  <c r="E41" i="38"/>
  <c r="E22" i="38"/>
  <c r="E21" i="38"/>
  <c r="B55" i="38"/>
  <c r="E37" i="38"/>
  <c r="E36" i="38"/>
  <c r="E16" i="38"/>
  <c r="E15" i="38"/>
  <c r="F55" i="38"/>
  <c r="E47" i="38"/>
  <c r="E30" i="38"/>
  <c r="E29" i="38"/>
  <c r="E24" i="38"/>
  <c r="E10" i="38"/>
  <c r="E55" i="38" s="1"/>
  <c r="E9" i="38"/>
  <c r="G64" i="39"/>
  <c r="D55" i="38"/>
  <c r="F65" i="36" l="1"/>
  <c r="G63" i="36" s="1"/>
  <c r="D65" i="36"/>
  <c r="C65" i="36"/>
  <c r="E65" i="36" s="1"/>
  <c r="B65" i="36"/>
  <c r="G62" i="36"/>
  <c r="G58" i="36"/>
  <c r="G57" i="36"/>
  <c r="G52" i="36"/>
  <c r="G51" i="36"/>
  <c r="G48" i="36"/>
  <c r="G47" i="36"/>
  <c r="G43" i="36"/>
  <c r="G42" i="36"/>
  <c r="G39" i="36"/>
  <c r="G38" i="36"/>
  <c r="G34" i="36"/>
  <c r="G33" i="36"/>
  <c r="G30" i="36"/>
  <c r="G28" i="36"/>
  <c r="G25" i="36"/>
  <c r="G24" i="36"/>
  <c r="G20" i="36"/>
  <c r="G19" i="36"/>
  <c r="G16" i="36"/>
  <c r="G15" i="36"/>
  <c r="G11" i="36"/>
  <c r="G10" i="36"/>
  <c r="G7" i="36"/>
  <c r="G6" i="36"/>
  <c r="F71" i="35"/>
  <c r="D71" i="35"/>
  <c r="C71" i="35"/>
  <c r="E71" i="35" s="1"/>
  <c r="B71" i="35"/>
  <c r="G70" i="35"/>
  <c r="G69" i="35"/>
  <c r="G68" i="35"/>
  <c r="G67" i="35"/>
  <c r="G66" i="35"/>
  <c r="G65" i="35"/>
  <c r="G63" i="35"/>
  <c r="G62" i="35"/>
  <c r="G61" i="35"/>
  <c r="G60" i="35"/>
  <c r="G59" i="35"/>
  <c r="G58" i="35"/>
  <c r="G57" i="35"/>
  <c r="G56" i="35"/>
  <c r="G55" i="35"/>
  <c r="G54" i="35"/>
  <c r="G53" i="35"/>
  <c r="G52" i="35"/>
  <c r="G51" i="35"/>
  <c r="G50" i="35"/>
  <c r="G49" i="35"/>
  <c r="G48" i="35"/>
  <c r="G47" i="35"/>
  <c r="G46" i="35"/>
  <c r="G45" i="35"/>
  <c r="G44" i="35"/>
  <c r="G43" i="35"/>
  <c r="G42" i="35"/>
  <c r="G41" i="35"/>
  <c r="G40" i="35"/>
  <c r="G39"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G10" i="35"/>
  <c r="G9" i="35"/>
  <c r="G8" i="35"/>
  <c r="G7" i="35"/>
  <c r="G6" i="35"/>
  <c r="F67" i="34"/>
  <c r="G58" i="34" s="1"/>
  <c r="D67" i="34"/>
  <c r="C67" i="34"/>
  <c r="E67" i="34" s="1"/>
  <c r="B67" i="34"/>
  <c r="G65" i="34"/>
  <c r="G62" i="34"/>
  <c r="G56" i="34"/>
  <c r="G51" i="34"/>
  <c r="G50" i="34"/>
  <c r="G49" i="34"/>
  <c r="G46" i="34"/>
  <c r="G43" i="34"/>
  <c r="G42" i="34"/>
  <c r="G40" i="34"/>
  <c r="G38" i="34"/>
  <c r="G35" i="34"/>
  <c r="G33" i="34"/>
  <c r="G32" i="34"/>
  <c r="G30" i="34"/>
  <c r="G27" i="34"/>
  <c r="G26" i="34"/>
  <c r="G25" i="34"/>
  <c r="G24" i="34"/>
  <c r="G22" i="34"/>
  <c r="G19" i="34"/>
  <c r="G18" i="34"/>
  <c r="G17" i="34"/>
  <c r="G16" i="34"/>
  <c r="G14" i="34"/>
  <c r="G11" i="34"/>
  <c r="G10" i="34"/>
  <c r="G9" i="34"/>
  <c r="G8" i="34"/>
  <c r="G6" i="34"/>
  <c r="D65" i="33"/>
  <c r="C65" i="33"/>
  <c r="B65" i="33"/>
  <c r="F65" i="32"/>
  <c r="G63" i="32" s="1"/>
  <c r="D65" i="32"/>
  <c r="C65" i="32"/>
  <c r="B65" i="32"/>
  <c r="G60" i="32"/>
  <c r="G52" i="32"/>
  <c r="G44" i="32"/>
  <c r="G36" i="32"/>
  <c r="G31" i="32"/>
  <c r="G30" i="32"/>
  <c r="G24" i="32"/>
  <c r="G23" i="32"/>
  <c r="G17" i="32"/>
  <c r="G16" i="32"/>
  <c r="G12" i="32"/>
  <c r="G9" i="32"/>
  <c r="G6" i="32"/>
  <c r="F65" i="31"/>
  <c r="G63" i="31" s="1"/>
  <c r="D65" i="31"/>
  <c r="C65" i="31"/>
  <c r="B65" i="31"/>
  <c r="G56" i="31"/>
  <c r="G40" i="31"/>
  <c r="G24" i="31"/>
  <c r="G8" i="31"/>
  <c r="F67" i="30"/>
  <c r="G65" i="30" s="1"/>
  <c r="D67" i="30"/>
  <c r="C67" i="30"/>
  <c r="B67" i="30"/>
  <c r="G62" i="30"/>
  <c r="G46" i="30"/>
  <c r="G38" i="30"/>
  <c r="G30" i="30"/>
  <c r="G14" i="30"/>
  <c r="G6" i="30"/>
  <c r="F65" i="29"/>
  <c r="G63" i="29" s="1"/>
  <c r="D65" i="29"/>
  <c r="C65" i="29"/>
  <c r="E65" i="29" s="1"/>
  <c r="B65" i="29"/>
  <c r="G62" i="29"/>
  <c r="G61" i="29"/>
  <c r="G60" i="29"/>
  <c r="G58" i="29"/>
  <c r="G57" i="29"/>
  <c r="G56" i="29"/>
  <c r="G54" i="29"/>
  <c r="G53" i="29"/>
  <c r="G52" i="29"/>
  <c r="G50" i="29"/>
  <c r="G49" i="29"/>
  <c r="G48" i="29"/>
  <c r="G46" i="29"/>
  <c r="G45" i="29"/>
  <c r="G44" i="29"/>
  <c r="G42" i="29"/>
  <c r="G41" i="29"/>
  <c r="G40" i="29"/>
  <c r="G38" i="29"/>
  <c r="G37" i="29"/>
  <c r="G36" i="29"/>
  <c r="G34" i="29"/>
  <c r="G33" i="29"/>
  <c r="G32" i="29"/>
  <c r="G30" i="29"/>
  <c r="G29" i="29"/>
  <c r="G28" i="29"/>
  <c r="G26" i="29"/>
  <c r="G25" i="29"/>
  <c r="G24" i="29"/>
  <c r="G22" i="29"/>
  <c r="G21" i="29"/>
  <c r="G20" i="29"/>
  <c r="G18" i="29"/>
  <c r="G17" i="29"/>
  <c r="G16" i="29"/>
  <c r="G14" i="29"/>
  <c r="G13" i="29"/>
  <c r="G12" i="29"/>
  <c r="G10" i="29"/>
  <c r="G9" i="29"/>
  <c r="G8" i="29"/>
  <c r="G6" i="29"/>
  <c r="F65" i="28"/>
  <c r="G20" i="28" s="1"/>
  <c r="D65" i="28"/>
  <c r="C65" i="28"/>
  <c r="B65" i="28"/>
  <c r="G28" i="28"/>
  <c r="F65" i="27"/>
  <c r="G58" i="27" s="1"/>
  <c r="D65" i="27"/>
  <c r="C65" i="27"/>
  <c r="E65" i="27" s="1"/>
  <c r="B65" i="27"/>
  <c r="G46" i="27"/>
  <c r="G36" i="27"/>
  <c r="G30" i="27"/>
  <c r="G25" i="27"/>
  <c r="G20" i="27"/>
  <c r="G14" i="27"/>
  <c r="G9" i="27"/>
  <c r="F65" i="26"/>
  <c r="G50" i="26" s="1"/>
  <c r="D65" i="26"/>
  <c r="C65" i="26"/>
  <c r="B65" i="26"/>
  <c r="G60" i="26"/>
  <c r="G52" i="26"/>
  <c r="G48" i="26"/>
  <c r="G44" i="26"/>
  <c r="G36" i="26"/>
  <c r="G32" i="26"/>
  <c r="G28" i="26"/>
  <c r="G23" i="26"/>
  <c r="G20" i="26"/>
  <c r="G18" i="26"/>
  <c r="G12" i="26"/>
  <c r="G10" i="26"/>
  <c r="G7" i="26"/>
  <c r="F65" i="25"/>
  <c r="G62" i="25" s="1"/>
  <c r="D65" i="25"/>
  <c r="C65" i="25"/>
  <c r="E65" i="25" s="1"/>
  <c r="B65" i="25"/>
  <c r="G63" i="25"/>
  <c r="G58" i="25"/>
  <c r="G52" i="25"/>
  <c r="G47" i="25"/>
  <c r="G42" i="25"/>
  <c r="G36" i="25"/>
  <c r="G31" i="25"/>
  <c r="G26" i="25"/>
  <c r="G20" i="25"/>
  <c r="G15" i="25"/>
  <c r="G10" i="25"/>
  <c r="F65" i="24"/>
  <c r="G63" i="24" s="1"/>
  <c r="D65" i="24"/>
  <c r="C65" i="24"/>
  <c r="B65" i="24"/>
  <c r="G62" i="24"/>
  <c r="G60" i="24"/>
  <c r="G59" i="24"/>
  <c r="G58" i="24"/>
  <c r="G56" i="24"/>
  <c r="G54" i="24"/>
  <c r="G53" i="24"/>
  <c r="G51" i="24"/>
  <c r="G50" i="24"/>
  <c r="G49" i="24"/>
  <c r="G46" i="24"/>
  <c r="G45" i="24"/>
  <c r="G44" i="24"/>
  <c r="G42" i="24"/>
  <c r="G41" i="24"/>
  <c r="G40" i="24"/>
  <c r="G37" i="24"/>
  <c r="G36" i="24"/>
  <c r="G35" i="24"/>
  <c r="G33" i="24"/>
  <c r="G32" i="24"/>
  <c r="G30" i="24"/>
  <c r="G28" i="24"/>
  <c r="G27" i="24"/>
  <c r="G26" i="24"/>
  <c r="G24" i="24"/>
  <c r="G22" i="24"/>
  <c r="G21" i="24"/>
  <c r="G19" i="24"/>
  <c r="G18" i="24"/>
  <c r="G17" i="24"/>
  <c r="G14" i="24"/>
  <c r="G13" i="24"/>
  <c r="G12" i="24"/>
  <c r="G10" i="24"/>
  <c r="G9" i="24"/>
  <c r="G8" i="24"/>
  <c r="F65" i="23"/>
  <c r="G60" i="23" s="1"/>
  <c r="D65" i="23"/>
  <c r="C65" i="23"/>
  <c r="B65" i="23"/>
  <c r="F65" i="22"/>
  <c r="G46" i="22" s="1"/>
  <c r="D65" i="22"/>
  <c r="C65" i="22"/>
  <c r="B65" i="22"/>
  <c r="G62" i="22"/>
  <c r="G50" i="22"/>
  <c r="G43" i="22"/>
  <c r="G25" i="22"/>
  <c r="G18" i="22"/>
  <c r="G14" i="22"/>
  <c r="D65" i="21"/>
  <c r="C65" i="21"/>
  <c r="E65" i="21" s="1"/>
  <c r="B65" i="21"/>
  <c r="D66" i="20"/>
  <c r="C66" i="20"/>
  <c r="B66" i="20"/>
  <c r="F69" i="19"/>
  <c r="G53" i="19" s="1"/>
  <c r="C69" i="19"/>
  <c r="G56" i="19"/>
  <c r="G40" i="19"/>
  <c r="G24" i="19"/>
  <c r="G8" i="19"/>
  <c r="F65" i="18"/>
  <c r="G55" i="18" s="1"/>
  <c r="D65" i="18"/>
  <c r="C65" i="18"/>
  <c r="E65" i="18" s="1"/>
  <c r="G59" i="18"/>
  <c r="G58" i="18"/>
  <c r="G49" i="18"/>
  <c r="G47" i="18"/>
  <c r="G44" i="18"/>
  <c r="G35" i="18"/>
  <c r="G34" i="18"/>
  <c r="G31" i="18"/>
  <c r="G23" i="18"/>
  <c r="G19" i="18"/>
  <c r="G18" i="18"/>
  <c r="G9" i="18"/>
  <c r="G7" i="18"/>
  <c r="F67" i="17"/>
  <c r="D67" i="17"/>
  <c r="C67" i="17"/>
  <c r="B67" i="17"/>
  <c r="G65" i="17"/>
  <c r="G56" i="17"/>
  <c r="G50" i="17"/>
  <c r="G43" i="17"/>
  <c r="G35" i="17"/>
  <c r="G28" i="17"/>
  <c r="G21" i="17"/>
  <c r="G13" i="17"/>
  <c r="G6" i="17"/>
  <c r="F68" i="16"/>
  <c r="G62" i="16" s="1"/>
  <c r="D68" i="16"/>
  <c r="C68" i="16"/>
  <c r="E68" i="16" s="1"/>
  <c r="B68" i="16"/>
  <c r="G65" i="16"/>
  <c r="G61" i="16"/>
  <c r="G56" i="16"/>
  <c r="G54" i="16"/>
  <c r="G52" i="16"/>
  <c r="G46" i="16"/>
  <c r="G45" i="16"/>
  <c r="G40" i="16"/>
  <c r="G39" i="16"/>
  <c r="G36" i="16"/>
  <c r="G31" i="16"/>
  <c r="G30" i="16"/>
  <c r="G24" i="16"/>
  <c r="G22" i="16"/>
  <c r="G20" i="16"/>
  <c r="G18" i="16"/>
  <c r="G14" i="16"/>
  <c r="G12" i="16"/>
  <c r="G10" i="16"/>
  <c r="G8" i="16"/>
  <c r="F66" i="15"/>
  <c r="G63" i="15" s="1"/>
  <c r="C66" i="15"/>
  <c r="G65" i="15"/>
  <c r="G61" i="15"/>
  <c r="G60" i="15"/>
  <c r="G59" i="15"/>
  <c r="G58" i="15"/>
  <c r="G56" i="15"/>
  <c r="G55" i="15"/>
  <c r="G54" i="15"/>
  <c r="G52" i="15"/>
  <c r="G51" i="15"/>
  <c r="G50" i="15"/>
  <c r="G48" i="15"/>
  <c r="G47" i="15"/>
  <c r="G46" i="15"/>
  <c r="G45" i="15"/>
  <c r="G43" i="15"/>
  <c r="G42" i="15"/>
  <c r="G40" i="15"/>
  <c r="G39" i="15"/>
  <c r="G38" i="15"/>
  <c r="G37" i="15"/>
  <c r="G36" i="15"/>
  <c r="G34" i="15"/>
  <c r="G32" i="15"/>
  <c r="G31" i="15"/>
  <c r="G30" i="15"/>
  <c r="G29" i="15"/>
  <c r="G28" i="15"/>
  <c r="G27" i="15"/>
  <c r="G24" i="15"/>
  <c r="G23" i="15"/>
  <c r="G22" i="15"/>
  <c r="G21" i="15"/>
  <c r="G20" i="15"/>
  <c r="G19" i="15"/>
  <c r="G18" i="15"/>
  <c r="G15" i="15"/>
  <c r="G14" i="15"/>
  <c r="G13" i="15"/>
  <c r="G12" i="15"/>
  <c r="G11" i="15"/>
  <c r="G10" i="15"/>
  <c r="G8" i="15"/>
  <c r="G6" i="15"/>
  <c r="F65" i="14"/>
  <c r="G59" i="14" s="1"/>
  <c r="D65" i="14"/>
  <c r="C65" i="14"/>
  <c r="B65" i="14"/>
  <c r="G63" i="14"/>
  <c r="G51" i="14"/>
  <c r="G38" i="14"/>
  <c r="G27" i="14"/>
  <c r="G14" i="14"/>
  <c r="F65" i="13"/>
  <c r="G58" i="13" s="1"/>
  <c r="D65" i="13"/>
  <c r="C65" i="13"/>
  <c r="B65" i="13"/>
  <c r="G62" i="13"/>
  <c r="G59" i="13"/>
  <c r="G50" i="13"/>
  <c r="G46" i="13"/>
  <c r="G44" i="13"/>
  <c r="G37" i="13"/>
  <c r="G35" i="13"/>
  <c r="G32" i="13"/>
  <c r="G28" i="13"/>
  <c r="G26" i="13"/>
  <c r="G22" i="13"/>
  <c r="G19" i="13"/>
  <c r="G17" i="13"/>
  <c r="G13" i="13"/>
  <c r="G10" i="13"/>
  <c r="G8" i="13"/>
  <c r="C70" i="12"/>
  <c r="F65" i="11"/>
  <c r="G57" i="11" s="1"/>
  <c r="D65" i="11"/>
  <c r="C65" i="11"/>
  <c r="B65" i="11"/>
  <c r="G60" i="11"/>
  <c r="G58" i="11"/>
  <c r="G44" i="11"/>
  <c r="G42" i="11"/>
  <c r="G28" i="11"/>
  <c r="G26" i="11"/>
  <c r="G12" i="11"/>
  <c r="G10" i="11"/>
  <c r="F65" i="10"/>
  <c r="G56" i="10" s="1"/>
  <c r="C65" i="10"/>
  <c r="F66" i="9"/>
  <c r="G65" i="9" s="1"/>
  <c r="D66" i="9"/>
  <c r="E66" i="9" s="1"/>
  <c r="C66" i="9"/>
  <c r="B66" i="9"/>
  <c r="G62" i="9"/>
  <c r="G61" i="9"/>
  <c r="G57" i="9"/>
  <c r="G54" i="9"/>
  <c r="G51" i="9"/>
  <c r="G49" i="9"/>
  <c r="G44" i="9"/>
  <c r="G43" i="9"/>
  <c r="G37" i="9"/>
  <c r="G36" i="9"/>
  <c r="G30" i="9"/>
  <c r="G29" i="9"/>
  <c r="G28" i="9"/>
  <c r="G27" i="9"/>
  <c r="G25" i="9"/>
  <c r="G22" i="9"/>
  <c r="G21" i="9"/>
  <c r="G20" i="9"/>
  <c r="G19" i="9"/>
  <c r="G17" i="9"/>
  <c r="G14" i="9"/>
  <c r="G13" i="9"/>
  <c r="G12" i="9"/>
  <c r="G11" i="9"/>
  <c r="G9" i="9"/>
  <c r="G6" i="9"/>
  <c r="F65" i="8"/>
  <c r="G63" i="8" s="1"/>
  <c r="D65" i="8"/>
  <c r="E65" i="8" s="1"/>
  <c r="C65" i="8"/>
  <c r="B65" i="8"/>
  <c r="G60" i="8"/>
  <c r="G52" i="8"/>
  <c r="G32" i="8"/>
  <c r="G26" i="8"/>
  <c r="F65" i="7"/>
  <c r="G62" i="7" s="1"/>
  <c r="D65" i="7"/>
  <c r="C65" i="7"/>
  <c r="B65" i="7"/>
  <c r="G63" i="7"/>
  <c r="G57" i="7"/>
  <c r="G49" i="7"/>
  <c r="G47" i="7"/>
  <c r="G41" i="7"/>
  <c r="G39" i="7"/>
  <c r="G33" i="7"/>
  <c r="G31" i="7"/>
  <c r="G25" i="7"/>
  <c r="G23" i="7"/>
  <c r="G17" i="7"/>
  <c r="G15" i="7"/>
  <c r="G9" i="7"/>
  <c r="G7" i="7"/>
  <c r="F65" i="6"/>
  <c r="G61" i="6" s="1"/>
  <c r="D65" i="6"/>
  <c r="C65" i="6"/>
  <c r="E65" i="6" s="1"/>
  <c r="B65" i="6"/>
  <c r="G63" i="6"/>
  <c r="G62" i="6"/>
  <c r="G60" i="6"/>
  <c r="G59" i="6"/>
  <c r="G58" i="6"/>
  <c r="G57" i="6"/>
  <c r="G56" i="6"/>
  <c r="G55" i="6"/>
  <c r="G54" i="6"/>
  <c r="G52" i="6"/>
  <c r="G51" i="6"/>
  <c r="G50" i="6"/>
  <c r="G49" i="6"/>
  <c r="G48" i="6"/>
  <c r="G47" i="6"/>
  <c r="G46" i="6"/>
  <c r="G44" i="6"/>
  <c r="G43" i="6"/>
  <c r="G42" i="6"/>
  <c r="G41" i="6"/>
  <c r="G40" i="6"/>
  <c r="G39" i="6"/>
  <c r="G38" i="6"/>
  <c r="G36" i="6"/>
  <c r="G35" i="6"/>
  <c r="G34" i="6"/>
  <c r="G33" i="6"/>
  <c r="G32" i="6"/>
  <c r="G31" i="6"/>
  <c r="G30" i="6"/>
  <c r="G28" i="6"/>
  <c r="G27" i="6"/>
  <c r="G26" i="6"/>
  <c r="G25" i="6"/>
  <c r="G24" i="6"/>
  <c r="G23" i="6"/>
  <c r="G22" i="6"/>
  <c r="G20" i="6"/>
  <c r="G19" i="6"/>
  <c r="G18" i="6"/>
  <c r="G17" i="6"/>
  <c r="G16" i="6"/>
  <c r="G15" i="6"/>
  <c r="G14" i="6"/>
  <c r="G12" i="6"/>
  <c r="G11" i="6"/>
  <c r="G10" i="6"/>
  <c r="G9" i="6"/>
  <c r="G8" i="6"/>
  <c r="G7" i="6"/>
  <c r="G6" i="6"/>
  <c r="F65" i="5"/>
  <c r="G61" i="5" s="1"/>
  <c r="D65" i="5"/>
  <c r="C65" i="5"/>
  <c r="B65" i="5"/>
  <c r="F65" i="4"/>
  <c r="G54" i="4" s="1"/>
  <c r="D65" i="4"/>
  <c r="C65" i="4"/>
  <c r="B65" i="4"/>
  <c r="F65" i="3"/>
  <c r="G58" i="3" s="1"/>
  <c r="D65" i="3"/>
  <c r="C65" i="3"/>
  <c r="B65" i="3"/>
  <c r="F65" i="2"/>
  <c r="G61" i="2" s="1"/>
  <c r="D65" i="2"/>
  <c r="E65" i="2" s="1"/>
  <c r="C65" i="2"/>
  <c r="B65" i="2"/>
  <c r="G14" i="5" l="1"/>
  <c r="G35" i="5"/>
  <c r="G55" i="5"/>
  <c r="G63" i="17"/>
  <c r="G62" i="17"/>
  <c r="G58" i="17"/>
  <c r="G52" i="17"/>
  <c r="G46" i="17"/>
  <c r="G42" i="17"/>
  <c r="G36" i="17"/>
  <c r="G30" i="17"/>
  <c r="G26" i="17"/>
  <c r="G20" i="17"/>
  <c r="G14" i="17"/>
  <c r="G10" i="17"/>
  <c r="G19" i="5"/>
  <c r="G30" i="5"/>
  <c r="G41" i="5"/>
  <c r="G63" i="5"/>
  <c r="G10" i="5"/>
  <c r="G15" i="5"/>
  <c r="G21" i="5"/>
  <c r="G26" i="5"/>
  <c r="G31" i="5"/>
  <c r="G37" i="5"/>
  <c r="G42" i="5"/>
  <c r="G50" i="5"/>
  <c r="G58" i="5"/>
  <c r="G18" i="14"/>
  <c r="G29" i="14"/>
  <c r="G42" i="14"/>
  <c r="G54" i="14"/>
  <c r="G8" i="17"/>
  <c r="G16" i="17"/>
  <c r="G22" i="17"/>
  <c r="G29" i="17"/>
  <c r="G37" i="17"/>
  <c r="G44" i="17"/>
  <c r="G51" i="17"/>
  <c r="G59" i="17"/>
  <c r="G9" i="5"/>
  <c r="G25" i="5"/>
  <c r="G47" i="5"/>
  <c r="G6" i="5"/>
  <c r="G11" i="5"/>
  <c r="G17" i="5"/>
  <c r="G22" i="5"/>
  <c r="G27" i="5"/>
  <c r="G33" i="5"/>
  <c r="G38" i="5"/>
  <c r="G43" i="5"/>
  <c r="G51" i="5"/>
  <c r="G59" i="5"/>
  <c r="G10" i="7"/>
  <c r="G18" i="7"/>
  <c r="G26" i="7"/>
  <c r="G34" i="7"/>
  <c r="G42" i="7"/>
  <c r="G51" i="7"/>
  <c r="G12" i="8"/>
  <c r="G37" i="8"/>
  <c r="G33" i="9"/>
  <c r="G38" i="9"/>
  <c r="G45" i="9"/>
  <c r="G52" i="9"/>
  <c r="G59" i="9"/>
  <c r="G18" i="11"/>
  <c r="G34" i="11"/>
  <c r="G50" i="11"/>
  <c r="G41" i="13"/>
  <c r="G53" i="13"/>
  <c r="G9" i="14"/>
  <c r="G20" i="14"/>
  <c r="G33" i="14"/>
  <c r="G45" i="14"/>
  <c r="G57" i="14"/>
  <c r="G23" i="16"/>
  <c r="G32" i="16"/>
  <c r="G44" i="16"/>
  <c r="G53" i="16"/>
  <c r="G11" i="17"/>
  <c r="G18" i="17"/>
  <c r="G24" i="17"/>
  <c r="G32" i="17"/>
  <c r="G38" i="17"/>
  <c r="G45" i="17"/>
  <c r="G53" i="17"/>
  <c r="G60" i="17"/>
  <c r="E65" i="3"/>
  <c r="E65" i="4"/>
  <c r="G7" i="5"/>
  <c r="G13" i="5"/>
  <c r="G18" i="5"/>
  <c r="G23" i="5"/>
  <c r="G29" i="5"/>
  <c r="G34" i="5"/>
  <c r="G39" i="5"/>
  <c r="G46" i="5"/>
  <c r="G54" i="5"/>
  <c r="G62" i="5"/>
  <c r="G11" i="7"/>
  <c r="G19" i="7"/>
  <c r="G27" i="7"/>
  <c r="G35" i="7"/>
  <c r="G43" i="7"/>
  <c r="G55" i="7"/>
  <c r="G19" i="8"/>
  <c r="G44" i="8"/>
  <c r="G35" i="9"/>
  <c r="G41" i="9"/>
  <c r="G46" i="9"/>
  <c r="G53" i="9"/>
  <c r="G60" i="9"/>
  <c r="G20" i="11"/>
  <c r="G36" i="11"/>
  <c r="G52" i="11"/>
  <c r="G56" i="13"/>
  <c r="E65" i="13"/>
  <c r="G11" i="14"/>
  <c r="G23" i="14"/>
  <c r="G36" i="14"/>
  <c r="G47" i="14"/>
  <c r="G60" i="14"/>
  <c r="G67" i="16"/>
  <c r="G63" i="16"/>
  <c r="G55" i="16"/>
  <c r="G50" i="16"/>
  <c r="G42" i="16"/>
  <c r="G34" i="16"/>
  <c r="G29" i="16"/>
  <c r="G21" i="16"/>
  <c r="G13" i="16"/>
  <c r="G7" i="16"/>
  <c r="G12" i="17"/>
  <c r="G19" i="17"/>
  <c r="G27" i="17"/>
  <c r="G34" i="17"/>
  <c r="G40" i="17"/>
  <c r="G48" i="17"/>
  <c r="G54" i="17"/>
  <c r="G61" i="17"/>
  <c r="G10" i="19"/>
  <c r="G26" i="19"/>
  <c r="G42" i="19"/>
  <c r="G58" i="19"/>
  <c r="G12" i="31"/>
  <c r="G28" i="31"/>
  <c r="G44" i="31"/>
  <c r="G8" i="36"/>
  <c r="G12" i="36"/>
  <c r="G17" i="36"/>
  <c r="G22" i="36"/>
  <c r="G26" i="36"/>
  <c r="G31" i="36"/>
  <c r="G35" i="36"/>
  <c r="G40" i="36"/>
  <c r="G44" i="36"/>
  <c r="G49" i="36"/>
  <c r="G54" i="36"/>
  <c r="G59" i="36"/>
  <c r="E67" i="17"/>
  <c r="G15" i="18"/>
  <c r="G27" i="18"/>
  <c r="G41" i="18"/>
  <c r="G57" i="18"/>
  <c r="G16" i="19"/>
  <c r="G32" i="19"/>
  <c r="G48" i="19"/>
  <c r="G65" i="19"/>
  <c r="G36" i="22"/>
  <c r="G6" i="24"/>
  <c r="G11" i="24"/>
  <c r="G16" i="24"/>
  <c r="G20" i="24"/>
  <c r="G25" i="24"/>
  <c r="G29" i="24"/>
  <c r="G34" i="24"/>
  <c r="G38" i="24"/>
  <c r="G43" i="24"/>
  <c r="G48" i="24"/>
  <c r="G52" i="24"/>
  <c r="G57" i="24"/>
  <c r="G61" i="24"/>
  <c r="E65" i="24"/>
  <c r="G13" i="26"/>
  <c r="G24" i="26"/>
  <c r="G37" i="26"/>
  <c r="G53" i="26"/>
  <c r="E65" i="26"/>
  <c r="E65" i="28"/>
  <c r="G7" i="29"/>
  <c r="G11" i="29"/>
  <c r="G15" i="29"/>
  <c r="G19" i="29"/>
  <c r="G23" i="29"/>
  <c r="G27" i="29"/>
  <c r="G31" i="29"/>
  <c r="G35" i="29"/>
  <c r="G39" i="29"/>
  <c r="G43" i="29"/>
  <c r="G47" i="29"/>
  <c r="G51" i="29"/>
  <c r="G55" i="29"/>
  <c r="G59" i="29"/>
  <c r="G22" i="30"/>
  <c r="G54" i="30"/>
  <c r="G16" i="31"/>
  <c r="G32" i="31"/>
  <c r="G48" i="31"/>
  <c r="E65" i="31"/>
  <c r="G9" i="36"/>
  <c r="G14" i="36"/>
  <c r="G18" i="36"/>
  <c r="G23" i="36"/>
  <c r="G27" i="36"/>
  <c r="G32" i="36"/>
  <c r="G36" i="36"/>
  <c r="G41" i="36"/>
  <c r="G46" i="36"/>
  <c r="G50" i="36"/>
  <c r="G56" i="36"/>
  <c r="G60" i="36"/>
  <c r="G20" i="19"/>
  <c r="G36" i="19"/>
  <c r="G52" i="19"/>
  <c r="E65" i="22"/>
  <c r="E65" i="23"/>
  <c r="G18" i="28"/>
  <c r="G20" i="31"/>
  <c r="G36" i="31"/>
  <c r="G52" i="31"/>
  <c r="G7" i="23"/>
  <c r="G11" i="23"/>
  <c r="G16" i="23"/>
  <c r="G20" i="23"/>
  <c r="G25" i="23"/>
  <c r="G29" i="23"/>
  <c r="G34" i="23"/>
  <c r="G39" i="23"/>
  <c r="G43" i="23"/>
  <c r="G48" i="23"/>
  <c r="G52" i="23"/>
  <c r="G57" i="23"/>
  <c r="G61" i="23"/>
  <c r="G8" i="23"/>
  <c r="G12" i="23"/>
  <c r="G21" i="23"/>
  <c r="G26" i="23"/>
  <c r="G31" i="23"/>
  <c r="G35" i="23"/>
  <c r="G40" i="23"/>
  <c r="G44" i="23"/>
  <c r="G49" i="23"/>
  <c r="G53" i="23"/>
  <c r="G58" i="23"/>
  <c r="G63" i="23"/>
  <c r="G9" i="23"/>
  <c r="G13" i="23"/>
  <c r="G18" i="23"/>
  <c r="G23" i="23"/>
  <c r="G27" i="23"/>
  <c r="G32" i="23"/>
  <c r="G36" i="23"/>
  <c r="G41" i="23"/>
  <c r="G45" i="23"/>
  <c r="G50" i="23"/>
  <c r="G55" i="23"/>
  <c r="G59" i="23"/>
  <c r="G17" i="23"/>
  <c r="G10" i="23"/>
  <c r="G15" i="23"/>
  <c r="G19" i="23"/>
  <c r="G24" i="23"/>
  <c r="G28" i="23"/>
  <c r="G33" i="23"/>
  <c r="G37" i="23"/>
  <c r="G42" i="23"/>
  <c r="G47" i="23"/>
  <c r="G51" i="23"/>
  <c r="G56" i="23"/>
  <c r="G34" i="34"/>
  <c r="G41" i="34"/>
  <c r="G48" i="34"/>
  <c r="G54" i="34"/>
  <c r="G7" i="32"/>
  <c r="G14" i="32"/>
  <c r="G20" i="32"/>
  <c r="G25" i="32"/>
  <c r="G32" i="32"/>
  <c r="G40" i="32"/>
  <c r="G48" i="32"/>
  <c r="G56" i="32"/>
  <c r="G38" i="32"/>
  <c r="G46" i="32"/>
  <c r="G54" i="32"/>
  <c r="G62" i="32"/>
  <c r="G8" i="32"/>
  <c r="G15" i="32"/>
  <c r="G22" i="32"/>
  <c r="G28" i="32"/>
  <c r="G33" i="32"/>
  <c r="G41" i="32"/>
  <c r="G49" i="32"/>
  <c r="G57" i="32"/>
  <c r="E65" i="32"/>
  <c r="G9" i="31"/>
  <c r="G13" i="31"/>
  <c r="G17" i="31"/>
  <c r="G21" i="31"/>
  <c r="G25" i="31"/>
  <c r="G29" i="31"/>
  <c r="G33" i="31"/>
  <c r="G37" i="31"/>
  <c r="G41" i="31"/>
  <c r="G45" i="31"/>
  <c r="G49" i="31"/>
  <c r="G53" i="31"/>
  <c r="G57" i="31"/>
  <c r="G61" i="31"/>
  <c r="G6" i="31"/>
  <c r="G10" i="31"/>
  <c r="G14" i="31"/>
  <c r="G18" i="31"/>
  <c r="G22" i="31"/>
  <c r="G26" i="31"/>
  <c r="G30" i="31"/>
  <c r="G34" i="31"/>
  <c r="G38" i="31"/>
  <c r="G42" i="31"/>
  <c r="G46" i="31"/>
  <c r="G50" i="31"/>
  <c r="G54" i="31"/>
  <c r="G62" i="31"/>
  <c r="G60" i="31"/>
  <c r="G58" i="31"/>
  <c r="G7" i="31"/>
  <c r="G11" i="31"/>
  <c r="G15" i="31"/>
  <c r="G19" i="31"/>
  <c r="G23" i="31"/>
  <c r="G27" i="31"/>
  <c r="G31" i="31"/>
  <c r="G35" i="31"/>
  <c r="G39" i="31"/>
  <c r="G43" i="31"/>
  <c r="G47" i="31"/>
  <c r="G51" i="31"/>
  <c r="G55" i="31"/>
  <c r="G59" i="31"/>
  <c r="E67" i="30"/>
  <c r="G41" i="27"/>
  <c r="G52" i="27"/>
  <c r="G57" i="27"/>
  <c r="G62" i="27"/>
  <c r="G11" i="27"/>
  <c r="G16" i="27"/>
  <c r="G21" i="27"/>
  <c r="G27" i="27"/>
  <c r="G32" i="27"/>
  <c r="G37" i="27"/>
  <c r="G43" i="27"/>
  <c r="G48" i="27"/>
  <c r="G53" i="27"/>
  <c r="G59" i="27"/>
  <c r="G6" i="27"/>
  <c r="G12" i="27"/>
  <c r="G17" i="27"/>
  <c r="G22" i="27"/>
  <c r="G28" i="27"/>
  <c r="G33" i="27"/>
  <c r="G38" i="27"/>
  <c r="G44" i="27"/>
  <c r="G49" i="27"/>
  <c r="G54" i="27"/>
  <c r="G60" i="27"/>
  <c r="G8" i="27"/>
  <c r="G13" i="27"/>
  <c r="G19" i="27"/>
  <c r="G24" i="27"/>
  <c r="G29" i="27"/>
  <c r="G35" i="27"/>
  <c r="G40" i="27"/>
  <c r="G45" i="27"/>
  <c r="G51" i="27"/>
  <c r="G56" i="27"/>
  <c r="G61" i="27"/>
  <c r="G11" i="25"/>
  <c r="G17" i="25"/>
  <c r="G22" i="25"/>
  <c r="G27" i="25"/>
  <c r="G33" i="25"/>
  <c r="G38" i="25"/>
  <c r="G43" i="25"/>
  <c r="G49" i="25"/>
  <c r="G54" i="25"/>
  <c r="G59" i="25"/>
  <c r="G7" i="25"/>
  <c r="G12" i="25"/>
  <c r="G18" i="25"/>
  <c r="G23" i="25"/>
  <c r="G28" i="25"/>
  <c r="G34" i="25"/>
  <c r="G39" i="25"/>
  <c r="G44" i="25"/>
  <c r="G50" i="25"/>
  <c r="G55" i="25"/>
  <c r="G60" i="25"/>
  <c r="G6" i="25"/>
  <c r="G9" i="25"/>
  <c r="G14" i="25"/>
  <c r="G19" i="25"/>
  <c r="G25" i="25"/>
  <c r="G30" i="25"/>
  <c r="G35" i="25"/>
  <c r="G41" i="25"/>
  <c r="G46" i="25"/>
  <c r="G51" i="25"/>
  <c r="G57" i="25"/>
  <c r="G10" i="18"/>
  <c r="G20" i="18"/>
  <c r="G33" i="18"/>
  <c r="G43" i="18"/>
  <c r="G52" i="18"/>
  <c r="G60" i="18"/>
  <c r="E65" i="14"/>
  <c r="E65" i="11"/>
  <c r="G11" i="10"/>
  <c r="G17" i="10"/>
  <c r="G22" i="10"/>
  <c r="G30" i="10"/>
  <c r="G38" i="10"/>
  <c r="G46" i="10"/>
  <c r="G54" i="10"/>
  <c r="G62" i="10"/>
  <c r="G6" i="10"/>
  <c r="G13" i="10"/>
  <c r="G20" i="10"/>
  <c r="G27" i="10"/>
  <c r="G35" i="10"/>
  <c r="G43" i="10"/>
  <c r="G51" i="10"/>
  <c r="G59" i="10"/>
  <c r="G12" i="10"/>
  <c r="G19" i="10"/>
  <c r="G25" i="10"/>
  <c r="G33" i="10"/>
  <c r="G41" i="10"/>
  <c r="G49" i="10"/>
  <c r="G57" i="10"/>
  <c r="G9" i="10"/>
  <c r="G14" i="10"/>
  <c r="G21" i="10"/>
  <c r="G28" i="10"/>
  <c r="G36" i="10"/>
  <c r="G44" i="10"/>
  <c r="G52" i="10"/>
  <c r="G60" i="10"/>
  <c r="G8" i="8"/>
  <c r="G13" i="8"/>
  <c r="G20" i="8"/>
  <c r="G27" i="8"/>
  <c r="G34" i="8"/>
  <c r="G40" i="8"/>
  <c r="G45" i="8"/>
  <c r="G53" i="8"/>
  <c r="G61" i="8"/>
  <c r="G10" i="8"/>
  <c r="G16" i="8"/>
  <c r="G21" i="8"/>
  <c r="G28" i="8"/>
  <c r="G35" i="8"/>
  <c r="G42" i="8"/>
  <c r="G48" i="8"/>
  <c r="G56" i="8"/>
  <c r="G11" i="8"/>
  <c r="G18" i="8"/>
  <c r="G24" i="8"/>
  <c r="G29" i="8"/>
  <c r="G36" i="8"/>
  <c r="G43" i="8"/>
  <c r="G50" i="8"/>
  <c r="G58" i="8"/>
  <c r="E65" i="7"/>
  <c r="G13" i="2"/>
  <c r="G22" i="2"/>
  <c r="G29" i="2"/>
  <c r="G38" i="2"/>
  <c r="G47" i="2"/>
  <c r="G54" i="2"/>
  <c r="G7" i="2"/>
  <c r="G14" i="2"/>
  <c r="G23" i="2"/>
  <c r="G34" i="2"/>
  <c r="G39" i="2"/>
  <c r="G50" i="2"/>
  <c r="G60" i="2"/>
  <c r="G12" i="2"/>
  <c r="G21" i="2"/>
  <c r="G28" i="2"/>
  <c r="G37" i="2"/>
  <c r="G46" i="2"/>
  <c r="G53" i="2"/>
  <c r="G62" i="2"/>
  <c r="G10" i="2"/>
  <c r="G15" i="2"/>
  <c r="G26" i="2"/>
  <c r="G36" i="2"/>
  <c r="G42" i="2"/>
  <c r="G52" i="2"/>
  <c r="G7" i="3"/>
  <c r="G13" i="3"/>
  <c r="G19" i="3"/>
  <c r="G23" i="3"/>
  <c r="G29" i="3"/>
  <c r="G35" i="3"/>
  <c r="G39" i="3"/>
  <c r="G45" i="3"/>
  <c r="G51" i="3"/>
  <c r="G55" i="3"/>
  <c r="G61" i="3"/>
  <c r="G6" i="3"/>
  <c r="G12" i="3"/>
  <c r="G16" i="3"/>
  <c r="G22" i="3"/>
  <c r="G28" i="3"/>
  <c r="G32" i="3"/>
  <c r="G38" i="3"/>
  <c r="G44" i="3"/>
  <c r="G48" i="3"/>
  <c r="G54" i="3"/>
  <c r="G60" i="3"/>
  <c r="G8" i="3"/>
  <c r="G20" i="3"/>
  <c r="G30" i="3"/>
  <c r="G36" i="3"/>
  <c r="G40" i="3"/>
  <c r="G46" i="3"/>
  <c r="G52" i="3"/>
  <c r="G56" i="3"/>
  <c r="G62" i="3"/>
  <c r="G14" i="3"/>
  <c r="G24" i="3"/>
  <c r="G11" i="3"/>
  <c r="G15" i="3"/>
  <c r="G21" i="3"/>
  <c r="G27" i="3"/>
  <c r="G31" i="3"/>
  <c r="G37" i="3"/>
  <c r="G43" i="3"/>
  <c r="G47" i="3"/>
  <c r="G53" i="3"/>
  <c r="G59" i="3"/>
  <c r="G63" i="3"/>
  <c r="G7" i="4"/>
  <c r="G23" i="4"/>
  <c r="G55" i="4"/>
  <c r="G39" i="4"/>
  <c r="G8" i="5"/>
  <c r="G12" i="5"/>
  <c r="G16" i="5"/>
  <c r="G20" i="5"/>
  <c r="G24" i="5"/>
  <c r="G28" i="5"/>
  <c r="G32" i="5"/>
  <c r="G36" i="5"/>
  <c r="G40" i="5"/>
  <c r="G44" i="5"/>
  <c r="G48" i="5"/>
  <c r="G52" i="5"/>
  <c r="G56" i="5"/>
  <c r="G60" i="5"/>
  <c r="G45" i="5"/>
  <c r="G49" i="5"/>
  <c r="G53" i="5"/>
  <c r="G57" i="5"/>
  <c r="E65" i="5"/>
  <c r="G6" i="4"/>
  <c r="G22" i="4"/>
  <c r="G38" i="4"/>
  <c r="G59" i="4"/>
  <c r="G51" i="4"/>
  <c r="G43" i="4"/>
  <c r="G35" i="4"/>
  <c r="G27" i="4"/>
  <c r="G19" i="4"/>
  <c r="G11" i="4"/>
  <c r="G58" i="4"/>
  <c r="G50" i="4"/>
  <c r="G42" i="4"/>
  <c r="G34" i="4"/>
  <c r="G26" i="4"/>
  <c r="G18" i="4"/>
  <c r="G10" i="4"/>
  <c r="G57" i="4"/>
  <c r="G49" i="4"/>
  <c r="G33" i="4"/>
  <c r="G25" i="4"/>
  <c r="G9" i="4"/>
  <c r="G41" i="4"/>
  <c r="G17" i="4"/>
  <c r="G61" i="4"/>
  <c r="G53" i="4"/>
  <c r="G45" i="4"/>
  <c r="G37" i="4"/>
  <c r="G29" i="4"/>
  <c r="G21" i="4"/>
  <c r="G13" i="4"/>
  <c r="G8" i="4"/>
  <c r="G24" i="4"/>
  <c r="G40" i="4"/>
  <c r="G56" i="4"/>
  <c r="G12" i="4"/>
  <c r="G28" i="4"/>
  <c r="G44" i="4"/>
  <c r="G60" i="4"/>
  <c r="G14" i="4"/>
  <c r="G30" i="4"/>
  <c r="G46" i="4"/>
  <c r="G62" i="4"/>
  <c r="G31" i="4"/>
  <c r="G47" i="4"/>
  <c r="G63" i="4"/>
  <c r="G57" i="2"/>
  <c r="G49" i="2"/>
  <c r="G41" i="2"/>
  <c r="G33" i="2"/>
  <c r="G25" i="2"/>
  <c r="G17" i="2"/>
  <c r="G9" i="2"/>
  <c r="G56" i="2"/>
  <c r="G48" i="2"/>
  <c r="G40" i="2"/>
  <c r="G32" i="2"/>
  <c r="G24" i="2"/>
  <c r="G16" i="2"/>
  <c r="G8" i="2"/>
  <c r="G63" i="2"/>
  <c r="G59" i="2"/>
  <c r="G51" i="2"/>
  <c r="G43" i="2"/>
  <c r="G35" i="2"/>
  <c r="G27" i="2"/>
  <c r="G19" i="2"/>
  <c r="G11" i="2"/>
  <c r="G16" i="4"/>
  <c r="G32" i="4"/>
  <c r="G48" i="4"/>
  <c r="G15" i="4"/>
  <c r="G18" i="2"/>
  <c r="G30" i="2"/>
  <c r="G44" i="2"/>
  <c r="G55" i="2"/>
  <c r="G6" i="2"/>
  <c r="G20" i="2"/>
  <c r="G31" i="2"/>
  <c r="G45" i="2"/>
  <c r="G58" i="2"/>
  <c r="G20" i="4"/>
  <c r="G36" i="4"/>
  <c r="G52" i="4"/>
  <c r="G8" i="7"/>
  <c r="G16" i="7"/>
  <c r="G24" i="7"/>
  <c r="G32" i="7"/>
  <c r="G40" i="7"/>
  <c r="G48" i="7"/>
  <c r="G56" i="7"/>
  <c r="G9" i="8"/>
  <c r="G17" i="8"/>
  <c r="G25" i="8"/>
  <c r="G33" i="8"/>
  <c r="G41" i="8"/>
  <c r="G49" i="8"/>
  <c r="G57" i="8"/>
  <c r="G10" i="9"/>
  <c r="G18" i="9"/>
  <c r="G26" i="9"/>
  <c r="G34" i="9"/>
  <c r="G42" i="9"/>
  <c r="G50" i="9"/>
  <c r="G58" i="9"/>
  <c r="G10" i="10"/>
  <c r="G18" i="10"/>
  <c r="G26" i="10"/>
  <c r="G34" i="10"/>
  <c r="G42" i="10"/>
  <c r="G50" i="10"/>
  <c r="G58" i="10"/>
  <c r="G11" i="11"/>
  <c r="G19" i="11"/>
  <c r="G27" i="11"/>
  <c r="G35" i="11"/>
  <c r="G43" i="11"/>
  <c r="G51" i="11"/>
  <c r="G59" i="11"/>
  <c r="G9" i="13"/>
  <c r="G18" i="13"/>
  <c r="G27" i="13"/>
  <c r="G36" i="13"/>
  <c r="G45" i="13"/>
  <c r="G54" i="13"/>
  <c r="G10" i="14"/>
  <c r="G19" i="14"/>
  <c r="G28" i="14"/>
  <c r="G37" i="14"/>
  <c r="G46" i="14"/>
  <c r="G55" i="14"/>
  <c r="G66" i="16"/>
  <c r="G57" i="16"/>
  <c r="G49" i="16"/>
  <c r="G41" i="16"/>
  <c r="G33" i="16"/>
  <c r="G25" i="16"/>
  <c r="G17" i="16"/>
  <c r="G9" i="16"/>
  <c r="G59" i="16"/>
  <c r="G51" i="16"/>
  <c r="G43" i="16"/>
  <c r="G35" i="16"/>
  <c r="G27" i="16"/>
  <c r="G19" i="16"/>
  <c r="G11" i="16"/>
  <c r="G17" i="18"/>
  <c r="G28" i="18"/>
  <c r="G42" i="18"/>
  <c r="G18" i="19"/>
  <c r="G34" i="19"/>
  <c r="G50" i="19"/>
  <c r="G67" i="19"/>
  <c r="G16" i="22"/>
  <c r="G41" i="22"/>
  <c r="G50" i="7"/>
  <c r="G58" i="7"/>
  <c r="G51" i="8"/>
  <c r="G59" i="8"/>
  <c r="G13" i="11"/>
  <c r="G21" i="11"/>
  <c r="G29" i="11"/>
  <c r="G37" i="11"/>
  <c r="G45" i="11"/>
  <c r="G53" i="11"/>
  <c r="G61" i="11"/>
  <c r="G11" i="13"/>
  <c r="G20" i="13"/>
  <c r="G29" i="13"/>
  <c r="G38" i="13"/>
  <c r="G48" i="13"/>
  <c r="G57" i="13"/>
  <c r="G12" i="14"/>
  <c r="G21" i="14"/>
  <c r="G30" i="14"/>
  <c r="G39" i="14"/>
  <c r="G49" i="14"/>
  <c r="G58" i="14"/>
  <c r="G62" i="18"/>
  <c r="G54" i="18"/>
  <c r="G46" i="18"/>
  <c r="G38" i="18"/>
  <c r="G30" i="18"/>
  <c r="G22" i="18"/>
  <c r="G14" i="18"/>
  <c r="G6" i="18"/>
  <c r="G61" i="18"/>
  <c r="G53" i="18"/>
  <c r="G45" i="18"/>
  <c r="G37" i="18"/>
  <c r="G29" i="18"/>
  <c r="G21" i="18"/>
  <c r="G13" i="18"/>
  <c r="G56" i="18"/>
  <c r="G48" i="18"/>
  <c r="G40" i="18"/>
  <c r="G32" i="18"/>
  <c r="G24" i="18"/>
  <c r="G16" i="18"/>
  <c r="G8" i="18"/>
  <c r="G21" i="19"/>
  <c r="G37" i="19"/>
  <c r="G23" i="22"/>
  <c r="G59" i="7"/>
  <c r="G29" i="10"/>
  <c r="G37" i="10"/>
  <c r="G45" i="10"/>
  <c r="G53" i="10"/>
  <c r="G61" i="10"/>
  <c r="G6" i="11"/>
  <c r="G14" i="11"/>
  <c r="G22" i="11"/>
  <c r="G30" i="11"/>
  <c r="G38" i="11"/>
  <c r="G46" i="11"/>
  <c r="G54" i="11"/>
  <c r="G62" i="11"/>
  <c r="G12" i="13"/>
  <c r="G21" i="13"/>
  <c r="G30" i="13"/>
  <c r="G40" i="13"/>
  <c r="G49" i="13"/>
  <c r="G13" i="14"/>
  <c r="G22" i="14"/>
  <c r="G31" i="14"/>
  <c r="G41" i="14"/>
  <c r="G50" i="14"/>
  <c r="G61" i="22"/>
  <c r="G53" i="22"/>
  <c r="G45" i="22"/>
  <c r="G37" i="22"/>
  <c r="G29" i="22"/>
  <c r="G21" i="22"/>
  <c r="G13" i="22"/>
  <c r="G58" i="22"/>
  <c r="G49" i="22"/>
  <c r="G40" i="22"/>
  <c r="G31" i="22"/>
  <c r="G22" i="22"/>
  <c r="G12" i="22"/>
  <c r="G57" i="22"/>
  <c r="G48" i="22"/>
  <c r="G39" i="22"/>
  <c r="G30" i="22"/>
  <c r="G20" i="22"/>
  <c r="G11" i="22"/>
  <c r="G56" i="22"/>
  <c r="G47" i="22"/>
  <c r="G38" i="22"/>
  <c r="G28" i="22"/>
  <c r="G19" i="22"/>
  <c r="G10" i="22"/>
  <c r="G63" i="22"/>
  <c r="G54" i="22"/>
  <c r="G44" i="22"/>
  <c r="G35" i="22"/>
  <c r="G26" i="22"/>
  <c r="G17" i="22"/>
  <c r="G8" i="22"/>
  <c r="G60" i="22"/>
  <c r="G51" i="22"/>
  <c r="G42" i="22"/>
  <c r="G33" i="22"/>
  <c r="G24" i="22"/>
  <c r="G15" i="22"/>
  <c r="G6" i="22"/>
  <c r="G20" i="7"/>
  <c r="G36" i="7"/>
  <c r="G52" i="7"/>
  <c r="G7" i="11"/>
  <c r="G15" i="11"/>
  <c r="G23" i="11"/>
  <c r="G31" i="11"/>
  <c r="G39" i="11"/>
  <c r="G47" i="11"/>
  <c r="G55" i="11"/>
  <c r="G63" i="11"/>
  <c r="G63" i="13"/>
  <c r="G55" i="13"/>
  <c r="G47" i="13"/>
  <c r="G39" i="13"/>
  <c r="G31" i="13"/>
  <c r="G23" i="13"/>
  <c r="G15" i="13"/>
  <c r="G7" i="13"/>
  <c r="G56" i="14"/>
  <c r="G48" i="14"/>
  <c r="G40" i="14"/>
  <c r="G32" i="14"/>
  <c r="G24" i="14"/>
  <c r="G16" i="14"/>
  <c r="G8" i="14"/>
  <c r="G63" i="19"/>
  <c r="G55" i="19"/>
  <c r="G47" i="19"/>
  <c r="G39" i="19"/>
  <c r="G31" i="19"/>
  <c r="G23" i="19"/>
  <c r="G15" i="19"/>
  <c r="G7" i="19"/>
  <c r="G62" i="19"/>
  <c r="G54" i="19"/>
  <c r="G46" i="19"/>
  <c r="G38" i="19"/>
  <c r="G30" i="19"/>
  <c r="G22" i="19"/>
  <c r="G14" i="19"/>
  <c r="G6" i="19"/>
  <c r="G68" i="19"/>
  <c r="G59" i="19"/>
  <c r="G51" i="19"/>
  <c r="G43" i="19"/>
  <c r="G35" i="19"/>
  <c r="G27" i="19"/>
  <c r="G19" i="19"/>
  <c r="G11" i="19"/>
  <c r="G66" i="19"/>
  <c r="G57" i="19"/>
  <c r="G49" i="19"/>
  <c r="G41" i="19"/>
  <c r="G33" i="19"/>
  <c r="G25" i="19"/>
  <c r="G17" i="19"/>
  <c r="G9" i="19"/>
  <c r="G27" i="22"/>
  <c r="G52" i="22"/>
  <c r="G12" i="7"/>
  <c r="G28" i="7"/>
  <c r="G44" i="7"/>
  <c r="G60" i="7"/>
  <c r="G9" i="3"/>
  <c r="G17" i="3"/>
  <c r="G25" i="3"/>
  <c r="G33" i="3"/>
  <c r="G41" i="3"/>
  <c r="G49" i="3"/>
  <c r="G57" i="3"/>
  <c r="G13" i="7"/>
  <c r="G21" i="7"/>
  <c r="G29" i="7"/>
  <c r="G37" i="7"/>
  <c r="G45" i="7"/>
  <c r="G53" i="7"/>
  <c r="G61" i="7"/>
  <c r="G6" i="8"/>
  <c r="G14" i="8"/>
  <c r="G22" i="8"/>
  <c r="G30" i="8"/>
  <c r="G38" i="8"/>
  <c r="G46" i="8"/>
  <c r="G54" i="8"/>
  <c r="G62" i="8"/>
  <c r="G7" i="9"/>
  <c r="G15" i="9"/>
  <c r="G23" i="9"/>
  <c r="G31" i="9"/>
  <c r="G39" i="9"/>
  <c r="G47" i="9"/>
  <c r="G55" i="9"/>
  <c r="G63" i="9"/>
  <c r="G7" i="10"/>
  <c r="G15" i="10"/>
  <c r="G23" i="10"/>
  <c r="G31" i="10"/>
  <c r="G39" i="10"/>
  <c r="G47" i="10"/>
  <c r="G55" i="10"/>
  <c r="G63" i="10"/>
  <c r="G8" i="11"/>
  <c r="G16" i="11"/>
  <c r="G24" i="11"/>
  <c r="G32" i="11"/>
  <c r="G40" i="11"/>
  <c r="G48" i="11"/>
  <c r="G56" i="11"/>
  <c r="G14" i="13"/>
  <c r="G24" i="13"/>
  <c r="G33" i="13"/>
  <c r="G42" i="13"/>
  <c r="G51" i="13"/>
  <c r="G60" i="13"/>
  <c r="G6" i="14"/>
  <c r="G15" i="14"/>
  <c r="G25" i="14"/>
  <c r="G34" i="14"/>
  <c r="G43" i="14"/>
  <c r="G52" i="14"/>
  <c r="G61" i="14"/>
  <c r="G57" i="15"/>
  <c r="G49" i="15"/>
  <c r="G41" i="15"/>
  <c r="G33" i="15"/>
  <c r="G25" i="15"/>
  <c r="G17" i="15"/>
  <c r="G9" i="15"/>
  <c r="G15" i="16"/>
  <c r="G26" i="16"/>
  <c r="G37" i="16"/>
  <c r="G47" i="16"/>
  <c r="G58" i="16"/>
  <c r="G11" i="18"/>
  <c r="G25" i="18"/>
  <c r="G36" i="18"/>
  <c r="G50" i="18"/>
  <c r="G63" i="18"/>
  <c r="G12" i="19"/>
  <c r="G28" i="19"/>
  <c r="G44" i="19"/>
  <c r="G60" i="19"/>
  <c r="G7" i="22"/>
  <c r="G32" i="22"/>
  <c r="G55" i="22"/>
  <c r="G10" i="3"/>
  <c r="G18" i="3"/>
  <c r="G26" i="3"/>
  <c r="G34" i="3"/>
  <c r="G42" i="3"/>
  <c r="G50" i="3"/>
  <c r="G13" i="6"/>
  <c r="G21" i="6"/>
  <c r="G29" i="6"/>
  <c r="G37" i="6"/>
  <c r="G45" i="6"/>
  <c r="G53" i="6"/>
  <c r="G6" i="7"/>
  <c r="G14" i="7"/>
  <c r="G22" i="7"/>
  <c r="G30" i="7"/>
  <c r="G38" i="7"/>
  <c r="G46" i="7"/>
  <c r="G54" i="7"/>
  <c r="G7" i="8"/>
  <c r="G15" i="8"/>
  <c r="G23" i="8"/>
  <c r="G31" i="8"/>
  <c r="G39" i="8"/>
  <c r="G47" i="8"/>
  <c r="G55" i="8"/>
  <c r="G8" i="9"/>
  <c r="G16" i="9"/>
  <c r="G24" i="9"/>
  <c r="G32" i="9"/>
  <c r="G40" i="9"/>
  <c r="G48" i="9"/>
  <c r="G56" i="9"/>
  <c r="G8" i="10"/>
  <c r="G16" i="10"/>
  <c r="G24" i="10"/>
  <c r="G32" i="10"/>
  <c r="G40" i="10"/>
  <c r="G48" i="10"/>
  <c r="G9" i="11"/>
  <c r="G17" i="11"/>
  <c r="G25" i="11"/>
  <c r="G33" i="11"/>
  <c r="G41" i="11"/>
  <c r="G49" i="11"/>
  <c r="G6" i="13"/>
  <c r="G16" i="13"/>
  <c r="G25" i="13"/>
  <c r="G34" i="13"/>
  <c r="G43" i="13"/>
  <c r="G52" i="13"/>
  <c r="G61" i="13"/>
  <c r="G7" i="14"/>
  <c r="G17" i="14"/>
  <c r="G26" i="14"/>
  <c r="G35" i="14"/>
  <c r="G44" i="14"/>
  <c r="G53" i="14"/>
  <c r="G62" i="14"/>
  <c r="G7" i="15"/>
  <c r="G16" i="15"/>
  <c r="G26" i="15"/>
  <c r="G35" i="15"/>
  <c r="G44" i="15"/>
  <c r="G53" i="15"/>
  <c r="G62" i="15"/>
  <c r="G6" i="16"/>
  <c r="G16" i="16"/>
  <c r="G28" i="16"/>
  <c r="G38" i="16"/>
  <c r="G48" i="16"/>
  <c r="G60" i="16"/>
  <c r="G12" i="18"/>
  <c r="G26" i="18"/>
  <c r="G39" i="18"/>
  <c r="G51" i="18"/>
  <c r="G13" i="19"/>
  <c r="G29" i="19"/>
  <c r="G45" i="19"/>
  <c r="G61" i="19"/>
  <c r="G9" i="22"/>
  <c r="G34" i="22"/>
  <c r="G59" i="22"/>
  <c r="G9" i="17"/>
  <c r="G17" i="17"/>
  <c r="G25" i="17"/>
  <c r="G33" i="17"/>
  <c r="G41" i="17"/>
  <c r="G49" i="17"/>
  <c r="G57" i="17"/>
  <c r="G66" i="17"/>
  <c r="G8" i="26"/>
  <c r="G19" i="26"/>
  <c r="G29" i="26"/>
  <c r="G45" i="26"/>
  <c r="G61" i="26"/>
  <c r="G62" i="28"/>
  <c r="G54" i="28"/>
  <c r="G46" i="28"/>
  <c r="G38" i="28"/>
  <c r="G30" i="28"/>
  <c r="G22" i="28"/>
  <c r="G14" i="28"/>
  <c r="G6" i="28"/>
  <c r="G61" i="28"/>
  <c r="G53" i="28"/>
  <c r="G45" i="28"/>
  <c r="G37" i="28"/>
  <c r="G29" i="28"/>
  <c r="G21" i="28"/>
  <c r="G13" i="28"/>
  <c r="G59" i="28"/>
  <c r="G51" i="28"/>
  <c r="G43" i="28"/>
  <c r="G35" i="28"/>
  <c r="G27" i="28"/>
  <c r="G19" i="28"/>
  <c r="G11" i="28"/>
  <c r="G58" i="28"/>
  <c r="G50" i="28"/>
  <c r="G42" i="28"/>
  <c r="G34" i="28"/>
  <c r="G26" i="28"/>
  <c r="G57" i="28"/>
  <c r="G49" i="28"/>
  <c r="G41" i="28"/>
  <c r="G33" i="28"/>
  <c r="G25" i="28"/>
  <c r="G17" i="28"/>
  <c r="G9" i="28"/>
  <c r="G56" i="28"/>
  <c r="G48" i="28"/>
  <c r="G40" i="28"/>
  <c r="G32" i="28"/>
  <c r="G24" i="28"/>
  <c r="G16" i="28"/>
  <c r="G8" i="28"/>
  <c r="G63" i="28"/>
  <c r="G55" i="28"/>
  <c r="G47" i="28"/>
  <c r="G39" i="28"/>
  <c r="G31" i="28"/>
  <c r="G23" i="28"/>
  <c r="G15" i="28"/>
  <c r="G7" i="28"/>
  <c r="G11" i="26"/>
  <c r="G21" i="26"/>
  <c r="G34" i="26"/>
  <c r="G36" i="28"/>
  <c r="G44" i="28"/>
  <c r="G59" i="26"/>
  <c r="G51" i="26"/>
  <c r="G43" i="26"/>
  <c r="G35" i="26"/>
  <c r="G57" i="26"/>
  <c r="G49" i="26"/>
  <c r="G41" i="26"/>
  <c r="G33" i="26"/>
  <c r="G25" i="26"/>
  <c r="G17" i="26"/>
  <c r="G9" i="26"/>
  <c r="G63" i="26"/>
  <c r="G55" i="26"/>
  <c r="G47" i="26"/>
  <c r="G39" i="26"/>
  <c r="G31" i="26"/>
  <c r="G62" i="26"/>
  <c r="G54" i="26"/>
  <c r="G46" i="26"/>
  <c r="G38" i="26"/>
  <c r="G30" i="26"/>
  <c r="G22" i="26"/>
  <c r="G14" i="26"/>
  <c r="G6" i="26"/>
  <c r="G52" i="28"/>
  <c r="G15" i="26"/>
  <c r="G26" i="26"/>
  <c r="G40" i="26"/>
  <c r="G56" i="26"/>
  <c r="G10" i="28"/>
  <c r="G60" i="28"/>
  <c r="G7" i="17"/>
  <c r="G15" i="17"/>
  <c r="G23" i="17"/>
  <c r="G31" i="17"/>
  <c r="G39" i="17"/>
  <c r="G47" i="17"/>
  <c r="G55" i="17"/>
  <c r="E66" i="20"/>
  <c r="G62" i="23"/>
  <c r="G54" i="23"/>
  <c r="G46" i="23"/>
  <c r="G38" i="23"/>
  <c r="G30" i="23"/>
  <c r="G22" i="23"/>
  <c r="G14" i="23"/>
  <c r="G6" i="23"/>
  <c r="G56" i="25"/>
  <c r="G48" i="25"/>
  <c r="G40" i="25"/>
  <c r="G32" i="25"/>
  <c r="G24" i="25"/>
  <c r="G16" i="25"/>
  <c r="G8" i="25"/>
  <c r="G61" i="25"/>
  <c r="G53" i="25"/>
  <c r="G45" i="25"/>
  <c r="G37" i="25"/>
  <c r="G29" i="25"/>
  <c r="G21" i="25"/>
  <c r="G13" i="25"/>
  <c r="G16" i="26"/>
  <c r="G27" i="26"/>
  <c r="G42" i="26"/>
  <c r="G58" i="26"/>
  <c r="G12" i="28"/>
  <c r="G9" i="30"/>
  <c r="G17" i="30"/>
  <c r="G25" i="30"/>
  <c r="G33" i="30"/>
  <c r="G41" i="30"/>
  <c r="G49" i="30"/>
  <c r="G57" i="30"/>
  <c r="G66" i="30"/>
  <c r="G59" i="34"/>
  <c r="G13" i="36"/>
  <c r="G21" i="36"/>
  <c r="G29" i="36"/>
  <c r="G37" i="36"/>
  <c r="G45" i="36"/>
  <c r="G53" i="36"/>
  <c r="G61" i="36"/>
  <c r="G7" i="27"/>
  <c r="G15" i="27"/>
  <c r="G23" i="27"/>
  <c r="G31" i="27"/>
  <c r="G39" i="27"/>
  <c r="G47" i="27"/>
  <c r="G55" i="27"/>
  <c r="G63" i="27"/>
  <c r="G10" i="30"/>
  <c r="G18" i="30"/>
  <c r="G26" i="30"/>
  <c r="G34" i="30"/>
  <c r="G42" i="30"/>
  <c r="G50" i="30"/>
  <c r="G58" i="30"/>
  <c r="G10" i="32"/>
  <c r="G18" i="32"/>
  <c r="G26" i="32"/>
  <c r="G34" i="32"/>
  <c r="G42" i="32"/>
  <c r="G50" i="32"/>
  <c r="G58" i="32"/>
  <c r="G12" i="34"/>
  <c r="G20" i="34"/>
  <c r="G28" i="34"/>
  <c r="G36" i="34"/>
  <c r="G44" i="34"/>
  <c r="G52" i="34"/>
  <c r="G60" i="34"/>
  <c r="G11" i="30"/>
  <c r="G19" i="30"/>
  <c r="G27" i="30"/>
  <c r="G35" i="30"/>
  <c r="G43" i="30"/>
  <c r="G51" i="30"/>
  <c r="G59" i="30"/>
  <c r="G11" i="32"/>
  <c r="G19" i="32"/>
  <c r="G27" i="32"/>
  <c r="G35" i="32"/>
  <c r="G43" i="32"/>
  <c r="G51" i="32"/>
  <c r="G59" i="32"/>
  <c r="G13" i="34"/>
  <c r="G21" i="34"/>
  <c r="G29" i="34"/>
  <c r="G37" i="34"/>
  <c r="G45" i="34"/>
  <c r="G53" i="34"/>
  <c r="G61" i="34"/>
  <c r="G55" i="36"/>
  <c r="G12" i="30"/>
  <c r="G20" i="30"/>
  <c r="G28" i="30"/>
  <c r="G36" i="30"/>
  <c r="G44" i="30"/>
  <c r="G52" i="30"/>
  <c r="G60" i="30"/>
  <c r="G7" i="24"/>
  <c r="G15" i="24"/>
  <c r="G23" i="24"/>
  <c r="G31" i="24"/>
  <c r="G39" i="24"/>
  <c r="G47" i="24"/>
  <c r="G55" i="24"/>
  <c r="G10" i="27"/>
  <c r="G18" i="27"/>
  <c r="G26" i="27"/>
  <c r="G34" i="27"/>
  <c r="G42" i="27"/>
  <c r="G50" i="27"/>
  <c r="G13" i="30"/>
  <c r="G21" i="30"/>
  <c r="G29" i="30"/>
  <c r="G37" i="30"/>
  <c r="G45" i="30"/>
  <c r="G53" i="30"/>
  <c r="G61" i="30"/>
  <c r="G13" i="32"/>
  <c r="G21" i="32"/>
  <c r="G29" i="32"/>
  <c r="G37" i="32"/>
  <c r="G45" i="32"/>
  <c r="G53" i="32"/>
  <c r="G61" i="32"/>
  <c r="G7" i="34"/>
  <c r="G15" i="34"/>
  <c r="G23" i="34"/>
  <c r="G31" i="34"/>
  <c r="G39" i="34"/>
  <c r="G47" i="34"/>
  <c r="G55" i="34"/>
  <c r="G63" i="34"/>
  <c r="G7" i="30"/>
  <c r="G15" i="30"/>
  <c r="G23" i="30"/>
  <c r="G31" i="30"/>
  <c r="G39" i="30"/>
  <c r="G47" i="30"/>
  <c r="G55" i="30"/>
  <c r="G63" i="30"/>
  <c r="G39" i="32"/>
  <c r="G47" i="32"/>
  <c r="G55" i="32"/>
  <c r="G57" i="34"/>
  <c r="G66" i="34"/>
  <c r="G8" i="30"/>
  <c r="G16" i="30"/>
  <c r="G24" i="30"/>
  <c r="G32" i="30"/>
  <c r="G40" i="30"/>
  <c r="G48" i="30"/>
  <c r="G56" i="30"/>
</calcChain>
</file>

<file path=xl/sharedStrings.xml><?xml version="1.0" encoding="utf-8"?>
<sst xmlns="http://schemas.openxmlformats.org/spreadsheetml/2006/main" count="3106" uniqueCount="549">
  <si>
    <t>Table of Contents</t>
  </si>
  <si>
    <t>Table Number</t>
  </si>
  <si>
    <t>Agency and Bureau</t>
  </si>
  <si>
    <t>Program Name</t>
  </si>
  <si>
    <t>CFDA Number</t>
  </si>
  <si>
    <t>14-5</t>
  </si>
  <si>
    <t>Department of Agriculture,
Food and Nutrition Service</t>
  </si>
  <si>
    <t>School Breakfast Program</t>
  </si>
  <si>
    <t>14-6</t>
  </si>
  <si>
    <t>National School Lunch Program</t>
  </si>
  <si>
    <t>14-7</t>
  </si>
  <si>
    <t>Special Supplemental Nutrition Program for Women, Infants, and Children</t>
  </si>
  <si>
    <t>14-8</t>
  </si>
  <si>
    <t>Child and Adult Care Food Program</t>
  </si>
  <si>
    <t>14-9</t>
  </si>
  <si>
    <t>State Administrative Matching Grants for the Supplemental Nutrition Assistance Program (Food Stamps)</t>
  </si>
  <si>
    <t>14-10</t>
  </si>
  <si>
    <t>Department of Education,
Office of Elementary and Secondary Education</t>
  </si>
  <si>
    <t>Title I Grants to Local Educational Agencies</t>
  </si>
  <si>
    <t>14-11</t>
  </si>
  <si>
    <t>Supporting Effective Instruction State Grants</t>
  </si>
  <si>
    <t>14-12</t>
  </si>
  <si>
    <t>Department of Education,
Office of Special Education and Rehabilitative Services</t>
  </si>
  <si>
    <t>Special Education-Grants to States</t>
  </si>
  <si>
    <t>14-13</t>
  </si>
  <si>
    <t>Vocational Rehabilitation State Grants</t>
  </si>
  <si>
    <t>14-14</t>
  </si>
  <si>
    <t>Department of Health and Human Services,
Centers for Medicare and Medicaid Services</t>
  </si>
  <si>
    <t>Children's Health Insurance Program (93.767)</t>
  </si>
  <si>
    <t>14-15</t>
  </si>
  <si>
    <t>Grants to States for Medicaid (93.778)</t>
  </si>
  <si>
    <t>14-16</t>
  </si>
  <si>
    <t>Department of Health and Human Services,
Administration for Children and Families</t>
  </si>
  <si>
    <t>Temporary Assistance for Needy Families (TANF) - Family Assistance Grants (93.558)</t>
  </si>
  <si>
    <t>14-17</t>
  </si>
  <si>
    <t>Child Support Enforcement - Federal Share of State and Local Administrative Costs and Incentives (93.563)</t>
  </si>
  <si>
    <t>14-18</t>
  </si>
  <si>
    <t>Low Income Home Energy Assistance Program (93.568)</t>
  </si>
  <si>
    <t>14-19</t>
  </si>
  <si>
    <t>Child Care and Development Block Grant (93.575)</t>
  </si>
  <si>
    <t>14-20</t>
  </si>
  <si>
    <t>Child Care and Development Fund - Mandatory (93.596a)</t>
  </si>
  <si>
    <t>93.596A</t>
  </si>
  <si>
    <t>14-21</t>
  </si>
  <si>
    <t>Child Care and Development Fund - Matching (93.596b)</t>
  </si>
  <si>
    <t>93.596B</t>
  </si>
  <si>
    <t>14-22</t>
  </si>
  <si>
    <t>Head Start (93.600)</t>
  </si>
  <si>
    <t>14-23</t>
  </si>
  <si>
    <t>Foster Care - Title IV-E (93.658)</t>
  </si>
  <si>
    <t>14-24</t>
  </si>
  <si>
    <t>Adoption Assistance (93.659)</t>
  </si>
  <si>
    <t>14-25</t>
  </si>
  <si>
    <t>Social Services Block Grant (93.667)</t>
  </si>
  <si>
    <t>14-26</t>
  </si>
  <si>
    <t>Department of Health and Human Services,
Health Resources and Services Administration</t>
  </si>
  <si>
    <t>Ryan White HIV/AIDS Treatment Modernization Act - Part B HIV Care Grants (93.917)</t>
  </si>
  <si>
    <t>14-27</t>
  </si>
  <si>
    <t>Department of Homeland Security,
Federal Emergency Management Agency</t>
  </si>
  <si>
    <t>Preparedness Grants</t>
  </si>
  <si>
    <t>97.067 et al</t>
  </si>
  <si>
    <t>14-28</t>
  </si>
  <si>
    <t>Department of Housing and Urban Development,
Public and Indian Housing Programs</t>
  </si>
  <si>
    <t>Section 8 Housing Choice Vouchers (14.871)</t>
  </si>
  <si>
    <t>14-29</t>
  </si>
  <si>
    <t>Public Housing Operating Fund (14.850)</t>
  </si>
  <si>
    <t>14-30</t>
  </si>
  <si>
    <t>Public Housing Capital Fund (14.872)</t>
  </si>
  <si>
    <t>14-31</t>
  </si>
  <si>
    <t>Department of Housing and Urban Development,
Community Planning and Development</t>
  </si>
  <si>
    <t>Community Development Block Grant</t>
  </si>
  <si>
    <t>14.218; 14.225; 14.228; 14.862</t>
  </si>
  <si>
    <t>14-32</t>
  </si>
  <si>
    <t>Community Development Block Grant - Disaster Recovery</t>
  </si>
  <si>
    <t>14.218; 14.228; 14.269</t>
  </si>
  <si>
    <t>14-33</t>
  </si>
  <si>
    <t>Department of Labor,
Employment and Training Administration</t>
  </si>
  <si>
    <t>Unemployment Insurance (17.225)</t>
  </si>
  <si>
    <t>14-34</t>
  </si>
  <si>
    <t>Department of Transportation,
Federal Transit Administration</t>
  </si>
  <si>
    <t>Federal Transit Formula Grants Program (20.507)</t>
  </si>
  <si>
    <t>14-35</t>
  </si>
  <si>
    <t>Department of Transportation,
Federal Aviation Administration</t>
  </si>
  <si>
    <t>Airport Improvement Program (20.106)</t>
  </si>
  <si>
    <t>14-36</t>
  </si>
  <si>
    <t>Department of Transportation,
Federal Highway Administration</t>
  </si>
  <si>
    <t>Highway Planning and Construction (20.205)</t>
  </si>
  <si>
    <t>14-37</t>
  </si>
  <si>
    <t>Environmental Protection Agency,
Office of Water</t>
  </si>
  <si>
    <t>Capitalization Grant for Clean Water State Revolving Funds (66.458)</t>
  </si>
  <si>
    <t>14-38</t>
  </si>
  <si>
    <t>Capitalization Grant for Drinking Water State Revolving Fund (66.468)</t>
  </si>
  <si>
    <t>14-39</t>
  </si>
  <si>
    <t>Federal Communications Commission</t>
  </si>
  <si>
    <t>Universal Service Fund E-Rate</t>
  </si>
  <si>
    <t>Department of Agriculture, Food and Nutrition Service</t>
  </si>
  <si>
    <t>12-3539-0-1-605</t>
  </si>
  <si>
    <t>Table 14-5. School Breakfast Program (10.553)</t>
  </si>
  <si>
    <t>(Obligations in thousands of dollars)</t>
  </si>
  <si>
    <t>State or Territory</t>
  </si>
  <si>
    <t>FY 2017 Actual</t>
  </si>
  <si>
    <t>Estimated FY 2018 obligations from:</t>
  </si>
  <si>
    <t>FY 2019 (estimated)</t>
  </si>
  <si>
    <t>FY 2019 Percentage of distributed total</t>
  </si>
  <si>
    <t>Previous authority</t>
  </si>
  <si>
    <t>New Authority</t>
  </si>
  <si>
    <t>Total</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</si>
  <si>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</si>
  <si>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</si>
  <si>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</si>
  <si>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</si>
  <si>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</si>
  <si>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</si>
  <si>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</si>
  <si>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</si>
  <si>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</si>
  <si>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</si>
  <si>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</si>
  <si>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</si>
  <si>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</si>
  <si>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</si>
  <si>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</si>
  <si>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</si>
  <si>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</si>
  <si>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</si>
  <si>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</si>
  <si>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</si>
  <si>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</si>
  <si>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</si>
  <si>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</si>
  <si>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</si>
  <si>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</si>
  <si>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</si>
  <si>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</si>
  <si>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</si>
  <si>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</si>
  <si>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</si>
  <si>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</si>
  <si>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</si>
  <si>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</si>
  <si>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</si>
  <si>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</si>
  <si>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</si>
  <si>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</si>
  <si>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</si>
  <si>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</si>
  <si>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</si>
  <si>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</si>
  <si>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</si>
  <si>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</si>
  <si>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</si>
  <si>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</si>
  <si>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</si>
  <si>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</si>
  <si>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</si>
  <si>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</si>
  <si>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</si>
  <si>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</si>
  <si>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</si>
  <si>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</si>
  <si>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</si>
  <si>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</si>
  <si>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Freely Associated States</t>
  </si>
  <si>
    <t>Virgin Islands</t>
  </si>
  <si>
    <t>Indian Tribes</t>
  </si>
  <si>
    <t>Undistributed</t>
  </si>
  <si>
    <r>
      <t>1</t>
    </r>
    <r>
      <rPr>
        <b/>
        <sz val="10"/>
        <rFont val="Arial Narrow"/>
        <family val="2"/>
      </rPr>
      <t xml:space="preserve"> 100.00</t>
    </r>
  </si>
  <si>
    <t>* $500 or less or 0.005 percent or less.</t>
  </si>
  <si>
    <r>
      <t>1</t>
    </r>
    <r>
      <rPr>
        <sz val="10"/>
        <rFont val="Arial Narrow"/>
        <family val="2"/>
      </rPr>
      <t xml:space="preserve"> Excludes undistributed obligations.</t>
    </r>
  </si>
  <si>
    <t>Table 14-6. National School Lunch Program (10.555)</t>
  </si>
  <si>
    <t>12-3510-0-1-605</t>
  </si>
  <si>
    <t>Table 14-7. Special Supplemental Nutrition Program for Women, Infants, and Children (WIC) (10.557)</t>
  </si>
  <si>
    <t>Table 14-8. Child and Adult Care Food Program (10.558)</t>
  </si>
  <si>
    <t>12-3505-0-1-605</t>
  </si>
  <si>
    <t>Table 14-9. State Administrative Matching Grants for the Supplemental Nutrition Assistance Program (Food Stamps) (10.561)</t>
  </si>
  <si>
    <t>Department of Education, Office of Elementary and Secondary Education</t>
  </si>
  <si>
    <t>91-0900-0-1-501</t>
  </si>
  <si>
    <t>Table 14-10. Title I Grants to Local Educational Agencies (84.010)</t>
  </si>
  <si>
    <t>91-1000-0-1-501</t>
  </si>
  <si>
    <t>Table 14-11. Supporting Effective Instruction State Grants (formerly Improving Teacher Quality State Grants) (84.367)</t>
  </si>
  <si>
    <t>......</t>
  </si>
  <si>
    <t>Department of Education, Office of Special Education and Rehabilitative Services</t>
  </si>
  <si>
    <t>91-0300-0-1-501</t>
  </si>
  <si>
    <t>Table 14-12. Special Education-Grants to States (84.027)</t>
  </si>
  <si>
    <t>Other</t>
  </si>
  <si>
    <t>91-0301-0-1-506</t>
  </si>
  <si>
    <t>Table 14-13. Vocational Rehabilitation Grants (84.126)</t>
  </si>
  <si>
    <t>Department of Health and Human Services, Centers for Medicare and Medicaid Services</t>
  </si>
  <si>
    <t>75-0515-0-1-551</t>
  </si>
  <si>
    <t>Table 14-14. Children's Health Insurance Program (93.767)</t>
  </si>
  <si>
    <t>75-0512-0-1-551</t>
  </si>
  <si>
    <t>Table 14-15. Grants to States for Medicaid (93.778)</t>
  </si>
  <si>
    <t>Survey and Certification</t>
  </si>
  <si>
    <t>Fraud Control Units</t>
  </si>
  <si>
    <t>Vaccines For Children</t>
  </si>
  <si>
    <t>Incurred But Not Reported</t>
  </si>
  <si>
    <t>Medicare Part B</t>
  </si>
  <si>
    <r>
      <t>4</t>
    </r>
    <r>
      <rPr>
        <b/>
        <sz val="10"/>
        <rFont val="Arial Narrow"/>
        <family val="2"/>
      </rPr>
      <t xml:space="preserve"> 100.00</t>
    </r>
  </si>
  <si>
    <r>
      <t>4</t>
    </r>
    <r>
      <rPr>
        <sz val="10"/>
        <rFont val="Arial Narrow"/>
        <family val="2"/>
      </rPr>
      <t xml:space="preserve"> Excludes undistributed obligations.</t>
    </r>
  </si>
  <si>
    <t>Department of Health and Human Services, Administration for Children and Families</t>
  </si>
  <si>
    <t>75-1552-0-1-609</t>
  </si>
  <si>
    <t>Table 14-16. Temporary Assistance for Needy Families (TANF)-Family Assistance Grants (93.558)</t>
  </si>
  <si>
    <t>75-1501-0-1-609</t>
  </si>
  <si>
    <t>Table 14-17. Child Support Enforcement-Federal Share of State and Local Administrative Costs and Incentives (93.563)</t>
  </si>
  <si>
    <t>75-1502-0-1-609</t>
  </si>
  <si>
    <t>Table 14-18. Low Income Home Energy Assistance Program (93.568)</t>
  </si>
  <si>
    <t>Training and Technical Assistance</t>
  </si>
  <si>
    <t>75-1515-0-1-609</t>
  </si>
  <si>
    <t>Table 14-19. Child Care and Development Block Grant (93.575)</t>
  </si>
  <si>
    <t>Discretionary Funds</t>
  </si>
  <si>
    <t>75-1550-0-1-609</t>
  </si>
  <si>
    <t>Table 14-20. Child Care and Development Fund-Mandatory (93.596A)</t>
  </si>
  <si>
    <t>Table 14-21. Child Care and Development Fund-Matching (93.596B)</t>
  </si>
  <si>
    <t>75-1536-0-1-506</t>
  </si>
  <si>
    <t>Table 14-22. Head Start (93.600)</t>
  </si>
  <si>
    <t>Migrant Program</t>
  </si>
  <si>
    <r>
      <t>1</t>
    </r>
    <r>
      <rPr>
        <sz val="10"/>
        <rFont val="Arial Narrow"/>
        <family val="2"/>
      </rPr>
      <t xml:space="preserve"> 24,922</t>
    </r>
  </si>
  <si>
    <r>
      <t>1</t>
    </r>
    <r>
      <rPr>
        <sz val="10"/>
        <rFont val="Arial Narrow"/>
        <family val="2"/>
      </rPr>
      <t xml:space="preserve"> 24,830</t>
    </r>
  </si>
  <si>
    <r>
      <t>1</t>
    </r>
    <r>
      <rPr>
        <sz val="10"/>
        <rFont val="Arial Narrow"/>
        <family val="2"/>
      </rPr>
      <t xml:space="preserve"> 25,000</t>
    </r>
  </si>
  <si>
    <r>
      <t>2</t>
    </r>
    <r>
      <rPr>
        <b/>
        <sz val="10"/>
        <rFont val="Arial Narrow"/>
        <family val="2"/>
      </rPr>
      <t xml:space="preserve"> 100.00</t>
    </r>
  </si>
  <si>
    <r>
      <t>1</t>
    </r>
    <r>
      <rPr>
        <sz val="10"/>
        <rFont val="Arial Narrow"/>
        <family val="2"/>
      </rPr>
      <t xml:space="preserve"> The Discretionary Funds total includes approximately $25 million to support Designation Renewal System transitions.</t>
    </r>
  </si>
  <si>
    <r>
      <t>2</t>
    </r>
    <r>
      <rPr>
        <sz val="10"/>
        <rFont val="Arial Narrow"/>
        <family val="2"/>
      </rPr>
      <t xml:space="preserve"> Excludes undistributed obligations.</t>
    </r>
  </si>
  <si>
    <t>75-1545-0-1-609</t>
  </si>
  <si>
    <t>Table 14-23. Foster Care-Title IV-E (93.658)</t>
  </si>
  <si>
    <t>Table 14-24. Adoption Assistance (93.659)</t>
  </si>
  <si>
    <t>75.1534-0-1-506</t>
  </si>
  <si>
    <t>Table 14-25. Social Services Block Grant (93.667)</t>
  </si>
  <si>
    <t>Department of Health and Human Services, Health Resources and Services Administration</t>
  </si>
  <si>
    <t>75-0350-0-1-550</t>
  </si>
  <si>
    <t>Table 14-26. Ryan White HIV/AIDS Treatment Modernization Act-Part B HIV Care Grants (93.917)</t>
  </si>
  <si>
    <r>
      <t>3</t>
    </r>
    <r>
      <rPr>
        <b/>
        <sz val="10"/>
        <rFont val="Arial Narrow"/>
        <family val="2"/>
      </rPr>
      <t xml:space="preserve"> 100.00</t>
    </r>
  </si>
  <si>
    <r>
      <t>3</t>
    </r>
    <r>
      <rPr>
        <sz val="10"/>
        <rFont val="Arial Narrow"/>
        <family val="2"/>
      </rPr>
      <t xml:space="preserve"> Excludes undistributed obligations.</t>
    </r>
  </si>
  <si>
    <t>Department of Homeland Security, Federal Emergency Management Agency</t>
  </si>
  <si>
    <t>70-0413-0-1-999 et al</t>
  </si>
  <si>
    <t>Table 14-27. FEMA Preparedness Grants (97.067 et al)</t>
  </si>
  <si>
    <r>
      <t>1</t>
    </r>
    <r>
      <rPr>
        <sz val="10"/>
        <rFont val="Arial Narrow"/>
        <family val="2"/>
      </rPr>
      <t xml:space="preserve"> 30,794</t>
    </r>
  </si>
  <si>
    <r>
      <t>2</t>
    </r>
    <r>
      <rPr>
        <sz val="10"/>
        <rFont val="Arial Narrow"/>
        <family val="2"/>
      </rPr>
      <t xml:space="preserve"> 8,088</t>
    </r>
  </si>
  <si>
    <r>
      <t>3</t>
    </r>
    <r>
      <rPr>
        <sz val="10"/>
        <rFont val="Arial Narrow"/>
        <family val="2"/>
      </rPr>
      <t xml:space="preserve"> 48,552</t>
    </r>
  </si>
  <si>
    <r>
      <t>4</t>
    </r>
    <r>
      <rPr>
        <sz val="10"/>
        <rFont val="Arial Narrow"/>
        <family val="2"/>
      </rPr>
      <t xml:space="preserve"> 13,815</t>
    </r>
  </si>
  <si>
    <r>
      <t>5</t>
    </r>
    <r>
      <rPr>
        <sz val="10"/>
        <rFont val="Arial Narrow"/>
        <family val="2"/>
      </rPr>
      <t xml:space="preserve"> 321,315</t>
    </r>
  </si>
  <si>
    <r>
      <t>6</t>
    </r>
    <r>
      <rPr>
        <sz val="10"/>
        <rFont val="Arial Narrow"/>
        <family val="2"/>
      </rPr>
      <t xml:space="preserve"> 21,636</t>
    </r>
  </si>
  <si>
    <r>
      <t>7</t>
    </r>
    <r>
      <rPr>
        <sz val="10"/>
        <rFont val="Arial Narrow"/>
        <family val="2"/>
      </rPr>
      <t xml:space="preserve"> 33,687</t>
    </r>
  </si>
  <si>
    <r>
      <t>8</t>
    </r>
    <r>
      <rPr>
        <sz val="10"/>
        <rFont val="Arial Narrow"/>
        <family val="2"/>
      </rPr>
      <t xml:space="preserve"> 8,624</t>
    </r>
  </si>
  <si>
    <r>
      <t>9</t>
    </r>
    <r>
      <rPr>
        <sz val="10"/>
        <rFont val="Arial Narrow"/>
        <family val="2"/>
      </rPr>
      <t xml:space="preserve"> 67,503</t>
    </r>
  </si>
  <si>
    <r>
      <t>10</t>
    </r>
    <r>
      <rPr>
        <sz val="10"/>
        <rFont val="Arial Narrow"/>
        <family val="2"/>
      </rPr>
      <t xml:space="preserve"> 101,528</t>
    </r>
  </si>
  <si>
    <r>
      <t>11</t>
    </r>
    <r>
      <rPr>
        <sz val="10"/>
        <rFont val="Arial Narrow"/>
        <family val="2"/>
      </rPr>
      <t xml:space="preserve"> 46,840</t>
    </r>
  </si>
  <si>
    <r>
      <t>12</t>
    </r>
    <r>
      <rPr>
        <sz val="10"/>
        <rFont val="Arial Narrow"/>
        <family val="2"/>
      </rPr>
      <t xml:space="preserve"> 7,683</t>
    </r>
  </si>
  <si>
    <r>
      <t>13</t>
    </r>
    <r>
      <rPr>
        <sz val="10"/>
        <rFont val="Arial Narrow"/>
        <family val="2"/>
      </rPr>
      <t xml:space="preserve"> 9,044</t>
    </r>
  </si>
  <si>
    <r>
      <t>14</t>
    </r>
    <r>
      <rPr>
        <sz val="10"/>
        <rFont val="Arial Narrow"/>
        <family val="2"/>
      </rPr>
      <t xml:space="preserve"> 125,494</t>
    </r>
  </si>
  <si>
    <r>
      <t>15</t>
    </r>
    <r>
      <rPr>
        <sz val="10"/>
        <rFont val="Arial Narrow"/>
        <family val="2"/>
      </rPr>
      <t xml:space="preserve"> 19,507</t>
    </r>
  </si>
  <si>
    <r>
      <t>16</t>
    </r>
    <r>
      <rPr>
        <sz val="10"/>
        <rFont val="Arial Narrow"/>
        <family val="2"/>
      </rPr>
      <t xml:space="preserve"> 14,163</t>
    </r>
  </si>
  <si>
    <r>
      <t>17</t>
    </r>
    <r>
      <rPr>
        <sz val="10"/>
        <rFont val="Arial Narrow"/>
        <family val="2"/>
      </rPr>
      <t xml:space="preserve"> 10,328</t>
    </r>
  </si>
  <si>
    <r>
      <t>18</t>
    </r>
    <r>
      <rPr>
        <sz val="10"/>
        <rFont val="Arial Narrow"/>
        <family val="2"/>
      </rPr>
      <t xml:space="preserve"> 20,976</t>
    </r>
  </si>
  <si>
    <r>
      <t>19</t>
    </r>
    <r>
      <rPr>
        <sz val="10"/>
        <rFont val="Arial Narrow"/>
        <family val="2"/>
      </rPr>
      <t xml:space="preserve"> 24,428</t>
    </r>
  </si>
  <si>
    <r>
      <t>20</t>
    </r>
    <r>
      <rPr>
        <sz val="10"/>
        <rFont val="Arial Narrow"/>
        <family val="2"/>
      </rPr>
      <t xml:space="preserve"> 11,884</t>
    </r>
  </si>
  <si>
    <r>
      <t>21</t>
    </r>
    <r>
      <rPr>
        <sz val="10"/>
        <rFont val="Arial Narrow"/>
        <family val="2"/>
      </rPr>
      <t xml:space="preserve"> 36,683</t>
    </r>
  </si>
  <si>
    <r>
      <t>22</t>
    </r>
    <r>
      <rPr>
        <sz val="10"/>
        <rFont val="Arial Narrow"/>
        <family val="2"/>
      </rPr>
      <t xml:space="preserve"> 68,343</t>
    </r>
  </si>
  <si>
    <r>
      <t>23</t>
    </r>
    <r>
      <rPr>
        <sz val="10"/>
        <rFont val="Arial Narrow"/>
        <family val="2"/>
      </rPr>
      <t xml:space="preserve"> 58,470</t>
    </r>
  </si>
  <si>
    <r>
      <t>24</t>
    </r>
    <r>
      <rPr>
        <sz val="10"/>
        <rFont val="Arial Narrow"/>
        <family val="2"/>
      </rPr>
      <t xml:space="preserve"> 26,126</t>
    </r>
  </si>
  <si>
    <r>
      <t>25</t>
    </r>
    <r>
      <rPr>
        <sz val="10"/>
        <rFont val="Arial Narrow"/>
        <family val="2"/>
      </rPr>
      <t xml:space="preserve"> 17,571</t>
    </r>
  </si>
  <si>
    <r>
      <t>26</t>
    </r>
    <r>
      <rPr>
        <sz val="10"/>
        <rFont val="Arial Narrow"/>
        <family val="2"/>
      </rPr>
      <t xml:space="preserve"> 25,235</t>
    </r>
  </si>
  <si>
    <r>
      <t>27</t>
    </r>
    <r>
      <rPr>
        <sz val="10"/>
        <rFont val="Arial Narrow"/>
        <family val="2"/>
      </rPr>
      <t xml:space="preserve"> 11,016</t>
    </r>
  </si>
  <si>
    <r>
      <t>28</t>
    </r>
    <r>
      <rPr>
        <sz val="10"/>
        <rFont val="Arial Narrow"/>
        <family val="2"/>
      </rPr>
      <t xml:space="preserve"> 11,381</t>
    </r>
  </si>
  <si>
    <r>
      <t>29</t>
    </r>
    <r>
      <rPr>
        <sz val="10"/>
        <rFont val="Arial Narrow"/>
        <family val="2"/>
      </rPr>
      <t xml:space="preserve"> 12,834</t>
    </r>
  </si>
  <si>
    <r>
      <t>30</t>
    </r>
    <r>
      <rPr>
        <sz val="10"/>
        <rFont val="Arial Narrow"/>
        <family val="2"/>
      </rPr>
      <t xml:space="preserve"> 11,721</t>
    </r>
  </si>
  <si>
    <r>
      <t>31</t>
    </r>
    <r>
      <rPr>
        <sz val="10"/>
        <rFont val="Arial Narrow"/>
        <family val="2"/>
      </rPr>
      <t xml:space="preserve"> 77,560</t>
    </r>
  </si>
  <si>
    <r>
      <t>32</t>
    </r>
    <r>
      <rPr>
        <sz val="10"/>
        <rFont val="Arial Narrow"/>
        <family val="2"/>
      </rPr>
      <t xml:space="preserve"> 11,973</t>
    </r>
  </si>
  <si>
    <r>
      <t>33</t>
    </r>
    <r>
      <rPr>
        <sz val="10"/>
        <rFont val="Arial Narrow"/>
        <family val="2"/>
      </rPr>
      <t xml:space="preserve"> 343,674</t>
    </r>
  </si>
  <si>
    <r>
      <t>34</t>
    </r>
    <r>
      <rPr>
        <sz val="10"/>
        <rFont val="Arial Narrow"/>
        <family val="2"/>
      </rPr>
      <t xml:space="preserve"> 42,951</t>
    </r>
  </si>
  <si>
    <r>
      <t>35</t>
    </r>
    <r>
      <rPr>
        <sz val="10"/>
        <rFont val="Arial Narrow"/>
        <family val="2"/>
      </rPr>
      <t xml:space="preserve"> 8,932</t>
    </r>
  </si>
  <si>
    <r>
      <t>36</t>
    </r>
    <r>
      <rPr>
        <sz val="10"/>
        <rFont val="Arial Narrow"/>
        <family val="2"/>
      </rPr>
      <t xml:space="preserve"> 50,282</t>
    </r>
  </si>
  <si>
    <r>
      <t>37</t>
    </r>
    <r>
      <rPr>
        <sz val="10"/>
        <rFont val="Arial Narrow"/>
        <family val="2"/>
      </rPr>
      <t xml:space="preserve"> 24,903</t>
    </r>
  </si>
  <si>
    <r>
      <t>38</t>
    </r>
    <r>
      <rPr>
        <sz val="10"/>
        <rFont val="Arial Narrow"/>
        <family val="2"/>
      </rPr>
      <t xml:space="preserve"> 31,284</t>
    </r>
  </si>
  <si>
    <r>
      <t>39</t>
    </r>
    <r>
      <rPr>
        <sz val="10"/>
        <rFont val="Arial Narrow"/>
        <family val="2"/>
      </rPr>
      <t xml:space="preserve"> 92,839</t>
    </r>
  </si>
  <si>
    <r>
      <t>40</t>
    </r>
    <r>
      <rPr>
        <sz val="10"/>
        <rFont val="Arial Narrow"/>
        <family val="2"/>
      </rPr>
      <t xml:space="preserve"> 17,136</t>
    </r>
  </si>
  <si>
    <r>
      <t>41</t>
    </r>
    <r>
      <rPr>
        <sz val="10"/>
        <rFont val="Arial Narrow"/>
        <family val="2"/>
      </rPr>
      <t xml:space="preserve"> 23,613</t>
    </r>
  </si>
  <si>
    <r>
      <t>42</t>
    </r>
    <r>
      <rPr>
        <sz val="10"/>
        <rFont val="Arial Narrow"/>
        <family val="2"/>
      </rPr>
      <t xml:space="preserve"> 8,131</t>
    </r>
  </si>
  <si>
    <r>
      <t>43</t>
    </r>
    <r>
      <rPr>
        <sz val="10"/>
        <rFont val="Arial Narrow"/>
        <family val="2"/>
      </rPr>
      <t xml:space="preserve"> 32,461</t>
    </r>
  </si>
  <si>
    <r>
      <t>44</t>
    </r>
    <r>
      <rPr>
        <sz val="10"/>
        <rFont val="Arial Narrow"/>
        <family val="2"/>
      </rPr>
      <t xml:space="preserve"> 142,973</t>
    </r>
  </si>
  <si>
    <r>
      <t>45</t>
    </r>
    <r>
      <rPr>
        <sz val="10"/>
        <rFont val="Arial Narrow"/>
        <family val="2"/>
      </rPr>
      <t xml:space="preserve"> 11,459</t>
    </r>
  </si>
  <si>
    <r>
      <t>46</t>
    </r>
    <r>
      <rPr>
        <sz val="10"/>
        <rFont val="Arial Narrow"/>
        <family val="2"/>
      </rPr>
      <t xml:space="preserve"> 9,078</t>
    </r>
  </si>
  <si>
    <r>
      <t>47</t>
    </r>
    <r>
      <rPr>
        <sz val="10"/>
        <rFont val="Arial Narrow"/>
        <family val="2"/>
      </rPr>
      <t xml:space="preserve"> 35,475</t>
    </r>
  </si>
  <si>
    <r>
      <t>48</t>
    </r>
    <r>
      <rPr>
        <sz val="10"/>
        <rFont val="Arial Narrow"/>
        <family val="2"/>
      </rPr>
      <t xml:space="preserve"> 51,161</t>
    </r>
  </si>
  <si>
    <r>
      <t>49</t>
    </r>
    <r>
      <rPr>
        <sz val="10"/>
        <rFont val="Arial Narrow"/>
        <family val="2"/>
      </rPr>
      <t xml:space="preserve"> 14,922</t>
    </r>
  </si>
  <si>
    <r>
      <t>50</t>
    </r>
    <r>
      <rPr>
        <sz val="10"/>
        <rFont val="Arial Narrow"/>
        <family val="2"/>
      </rPr>
      <t xml:space="preserve"> 19,604</t>
    </r>
  </si>
  <si>
    <r>
      <t>51</t>
    </r>
    <r>
      <rPr>
        <sz val="10"/>
        <rFont val="Arial Narrow"/>
        <family val="2"/>
      </rPr>
      <t xml:space="preserve"> 7,475</t>
    </r>
  </si>
  <si>
    <r>
      <t>52</t>
    </r>
    <r>
      <rPr>
        <sz val="10"/>
        <rFont val="Arial Narrow"/>
        <family val="2"/>
      </rPr>
      <t xml:space="preserve"> 1,767</t>
    </r>
  </si>
  <si>
    <r>
      <t>53</t>
    </r>
    <r>
      <rPr>
        <sz val="10"/>
        <rFont val="Arial Narrow"/>
        <family val="2"/>
      </rPr>
      <t xml:space="preserve"> 2,457</t>
    </r>
  </si>
  <si>
    <r>
      <t>54</t>
    </r>
    <r>
      <rPr>
        <sz val="10"/>
        <rFont val="Arial Narrow"/>
        <family val="2"/>
      </rPr>
      <t xml:space="preserve"> 1,767</t>
    </r>
  </si>
  <si>
    <r>
      <t>55</t>
    </r>
    <r>
      <rPr>
        <sz val="10"/>
        <rFont val="Arial Narrow"/>
        <family val="2"/>
      </rPr>
      <t xml:space="preserve"> 10,937</t>
    </r>
  </si>
  <si>
    <r>
      <t>56</t>
    </r>
    <r>
      <rPr>
        <sz val="10"/>
        <rFont val="Arial Narrow"/>
        <family val="2"/>
      </rPr>
      <t xml:space="preserve"> 50,000</t>
    </r>
  </si>
  <si>
    <r>
      <t>57</t>
    </r>
    <r>
      <rPr>
        <sz val="10"/>
        <rFont val="Arial Narrow"/>
        <family val="2"/>
      </rPr>
      <t xml:space="preserve"> 1,919</t>
    </r>
  </si>
  <si>
    <r>
      <t>1</t>
    </r>
    <r>
      <rPr>
        <sz val="10"/>
        <rFont val="Arial Narrow"/>
        <family val="2"/>
      </rPr>
      <t xml:space="preserve"> 97.042, 97.043, 97.044, 97.056, 97.067 97.057, 97.083</t>
    </r>
  </si>
  <si>
    <r>
      <t>2</t>
    </r>
    <r>
      <rPr>
        <sz val="10"/>
        <rFont val="Arial Narrow"/>
        <family val="2"/>
      </rPr>
      <t xml:space="preserve"> 97.042, 97.044, 97.056, 97.067, 97.083</t>
    </r>
  </si>
  <si>
    <r>
      <t>3</t>
    </r>
    <r>
      <rPr>
        <sz val="10"/>
        <rFont val="Arial Narrow"/>
        <family val="2"/>
      </rPr>
      <t xml:space="preserve"> 97.042, 97.043, 97.044, 97.056, 97.057, 97.067, 97.083, 97.008</t>
    </r>
  </si>
  <si>
    <r>
      <t>4</t>
    </r>
    <r>
      <rPr>
        <sz val="10"/>
        <rFont val="Arial Narrow"/>
        <family val="2"/>
      </rPr>
      <t xml:space="preserve"> 97.042, 97.044. 97.057, 97.067, 97.083</t>
    </r>
  </si>
  <si>
    <r>
      <t>5</t>
    </r>
    <r>
      <rPr>
        <sz val="10"/>
        <rFont val="Arial Narrow"/>
        <family val="2"/>
      </rPr>
      <t xml:space="preserve"> 97.042, 97.043, 97.044, 97.008, 97.056, 97.057, 97.067, 97.075</t>
    </r>
  </si>
  <si>
    <r>
      <t>6</t>
    </r>
    <r>
      <rPr>
        <sz val="10"/>
        <rFont val="Arial Narrow"/>
        <family val="2"/>
      </rPr>
      <t xml:space="preserve"> 97.008, 97.042, 97.043, 97.044, 97.067, 97.075, 97.083</t>
    </r>
  </si>
  <si>
    <r>
      <t>7</t>
    </r>
    <r>
      <rPr>
        <sz val="10"/>
        <rFont val="Arial Narrow"/>
        <family val="2"/>
      </rPr>
      <t xml:space="preserve"> 97.043, 97.044, 97.056, 97.057, 97.067, 97.075, 97.083</t>
    </r>
  </si>
  <si>
    <r>
      <t>8</t>
    </r>
    <r>
      <rPr>
        <sz val="10"/>
        <rFont val="Arial Narrow"/>
        <family val="2"/>
      </rPr>
      <t xml:space="preserve"> 97.042, 97.044, 97.056, 97.067,</t>
    </r>
  </si>
  <si>
    <r>
      <t>9</t>
    </r>
    <r>
      <rPr>
        <sz val="10"/>
        <rFont val="Arial Narrow"/>
        <family val="2"/>
      </rPr>
      <t xml:space="preserve"> 97.008, 97.042, 97.043, 97.044,97.067, 97.075</t>
    </r>
  </si>
  <si>
    <r>
      <t>10</t>
    </r>
    <r>
      <rPr>
        <sz val="10"/>
        <rFont val="Arial Narrow"/>
        <family val="2"/>
      </rPr>
      <t xml:space="preserve"> 97.008, 97.042, 97.043, 97.044, 97.056, 97.057, 97.067, 97.083</t>
    </r>
  </si>
  <si>
    <r>
      <t>11</t>
    </r>
    <r>
      <rPr>
        <sz val="10"/>
        <rFont val="Arial Narrow"/>
        <family val="2"/>
      </rPr>
      <t xml:space="preserve"> 97.008, 97.042, 97.044, 97.056, 97.057, 97.067, 97.075, 97.083</t>
    </r>
  </si>
  <si>
    <r>
      <t>14</t>
    </r>
    <r>
      <rPr>
        <sz val="10"/>
        <rFont val="Arial Narrow"/>
        <family val="2"/>
      </rPr>
      <t xml:space="preserve"> 97.008, 97.042, 97.043, 97.044, 97.056, 97.057, 97.067, 97.075</t>
    </r>
  </si>
  <si>
    <r>
      <t>15</t>
    </r>
    <r>
      <rPr>
        <sz val="10"/>
        <rFont val="Arial Narrow"/>
        <family val="2"/>
      </rPr>
      <t xml:space="preserve"> 97.042, 97.044, 97.056, 97.067,  97.083</t>
    </r>
  </si>
  <si>
    <r>
      <t>16</t>
    </r>
    <r>
      <rPr>
        <sz val="10"/>
        <rFont val="Arial Narrow"/>
        <family val="2"/>
      </rPr>
      <t xml:space="preserve"> 97.042, 97.043, 97.044, 97.057, 97.067, 97.083</t>
    </r>
  </si>
  <si>
    <r>
      <t>17</t>
    </r>
    <r>
      <rPr>
        <sz val="10"/>
        <rFont val="Arial Narrow"/>
        <family val="2"/>
      </rPr>
      <t xml:space="preserve"> 97.042, 97.043, 97.044, 97.056, 97.057, 97.067, 97.083</t>
    </r>
  </si>
  <si>
    <r>
      <t>18</t>
    </r>
    <r>
      <rPr>
        <sz val="10"/>
        <rFont val="Arial Narrow"/>
        <family val="2"/>
      </rPr>
      <t xml:space="preserve"> 97.042, 97.043, 97.044, 97.056. 97.057, 97.067, 97.083</t>
    </r>
  </si>
  <si>
    <r>
      <t>19</t>
    </r>
    <r>
      <rPr>
        <sz val="10"/>
        <rFont val="Arial Narrow"/>
        <family val="2"/>
      </rPr>
      <t xml:space="preserve"> 97.042, 97.044, 97.056, 97.057, 97.067, 97.083</t>
    </r>
  </si>
  <si>
    <r>
      <t>21</t>
    </r>
    <r>
      <rPr>
        <sz val="10"/>
        <rFont val="Arial Narrow"/>
        <family val="2"/>
      </rPr>
      <t xml:space="preserve"> 97.008, 97.042, 97.043, 97.044, 97.056, 97.057, 97.067, 97.075, 97.083</t>
    </r>
  </si>
  <si>
    <r>
      <t>22</t>
    </r>
    <r>
      <rPr>
        <sz val="10"/>
        <rFont val="Arial Narrow"/>
        <family val="2"/>
      </rPr>
      <t xml:space="preserve"> 97.008, 97.042, 97.043, 97.044, 97.056, 97.057, 97.067, 97.075, 97.083</t>
    </r>
  </si>
  <si>
    <r>
      <t>23</t>
    </r>
    <r>
      <rPr>
        <sz val="10"/>
        <rFont val="Arial Narrow"/>
        <family val="2"/>
      </rPr>
      <t xml:space="preserve"> 97.008, 97.042, 97.043, 97.044, 97.056, 97.057, 97.067, 97.083</t>
    </r>
  </si>
  <si>
    <r>
      <t>24</t>
    </r>
    <r>
      <rPr>
        <sz val="10"/>
        <rFont val="Arial Narrow"/>
        <family val="2"/>
      </rPr>
      <t xml:space="preserve"> 97.008, 97.042, 97.043, 97.044, 97.056, 97.057, 97.067, 97.075, 97.083</t>
    </r>
  </si>
  <si>
    <r>
      <t>25</t>
    </r>
    <r>
      <rPr>
        <sz val="10"/>
        <rFont val="Arial Narrow"/>
        <family val="2"/>
      </rPr>
      <t xml:space="preserve"> 97.042, 97.043, 97.044, 97.056, 97.057, 97.067, 97.083</t>
    </r>
  </si>
  <si>
    <r>
      <t>26</t>
    </r>
    <r>
      <rPr>
        <sz val="10"/>
        <rFont val="Arial Narrow"/>
        <family val="2"/>
      </rPr>
      <t xml:space="preserve"> 97.008, 97.042, 97.043, 97.044, 97.056, 97.057, 97.067, 97.083</t>
    </r>
  </si>
  <si>
    <r>
      <t>27</t>
    </r>
    <r>
      <rPr>
        <sz val="10"/>
        <rFont val="Arial Narrow"/>
        <family val="2"/>
      </rPr>
      <t xml:space="preserve"> 97.042,  97.044, 97.067, 97.083</t>
    </r>
  </si>
  <si>
    <r>
      <t>28</t>
    </r>
    <r>
      <rPr>
        <sz val="10"/>
        <rFont val="Arial Narrow"/>
        <family val="2"/>
      </rPr>
      <t xml:space="preserve"> 97.042, 97.044 97.057, 97.067, 97.083</t>
    </r>
  </si>
  <si>
    <r>
      <t>29</t>
    </r>
    <r>
      <rPr>
        <sz val="10"/>
        <rFont val="Arial Narrow"/>
        <family val="2"/>
      </rPr>
      <t xml:space="preserve"> 97.008, 97.042, 97.044, 97.057, 97.067, 97.083</t>
    </r>
  </si>
  <si>
    <r>
      <t>31</t>
    </r>
    <r>
      <rPr>
        <sz val="10"/>
        <rFont val="Arial Narrow"/>
        <family val="2"/>
      </rPr>
      <t xml:space="preserve"> 97.008, 97.042, 97.043, 97.044, 97.056, 97.057, 97.067, 97.075,97.083</t>
    </r>
  </si>
  <si>
    <r>
      <t>32</t>
    </r>
    <r>
      <rPr>
        <sz val="10"/>
        <rFont val="Arial Narrow"/>
        <family val="2"/>
      </rPr>
      <t xml:space="preserve"> 97.042, 97.044, 97.067, 97.083</t>
    </r>
  </si>
  <si>
    <r>
      <t>33</t>
    </r>
    <r>
      <rPr>
        <sz val="10"/>
        <rFont val="Arial Narrow"/>
        <family val="2"/>
      </rPr>
      <t xml:space="preserve"> 97.008, 97.042, 97.043, 97.044, 97.056, 97.057, 97.067, 97.075, 97.083</t>
    </r>
  </si>
  <si>
    <r>
      <t>34</t>
    </r>
    <r>
      <rPr>
        <sz val="10"/>
        <rFont val="Arial Narrow"/>
        <family val="2"/>
      </rPr>
      <t xml:space="preserve"> 97.042, 97.043, 97.044, 97.056, 97.057, 97.067, 97.083</t>
    </r>
  </si>
  <si>
    <r>
      <t>35</t>
    </r>
    <r>
      <rPr>
        <sz val="10"/>
        <rFont val="Arial Narrow"/>
        <family val="2"/>
      </rPr>
      <t xml:space="preserve"> 97.042,  97.044, 97.067, 97.083</t>
    </r>
  </si>
  <si>
    <r>
      <t>37</t>
    </r>
    <r>
      <rPr>
        <sz val="10"/>
        <rFont val="Arial Narrow"/>
        <family val="2"/>
      </rPr>
      <t xml:space="preserve"> 97.042, 97.043, 97.044, 97.067, 97.083</t>
    </r>
  </si>
  <si>
    <r>
      <t>38</t>
    </r>
    <r>
      <rPr>
        <sz val="10"/>
        <rFont val="Arial Narrow"/>
        <family val="2"/>
      </rPr>
      <t xml:space="preserve"> 97.008, 97.042, 97.043, 97.044, 97.056, 97.057, 97.067, 97.075</t>
    </r>
  </si>
  <si>
    <r>
      <t>39</t>
    </r>
    <r>
      <rPr>
        <sz val="10"/>
        <rFont val="Arial Narrow"/>
        <family val="2"/>
      </rPr>
      <t xml:space="preserve"> 97.008, 97.042, 97.043, 97.044, 97.056, 97.057, 97.067, 97.083</t>
    </r>
  </si>
  <si>
    <r>
      <t>40</t>
    </r>
    <r>
      <rPr>
        <sz val="10"/>
        <rFont val="Arial Narrow"/>
        <family val="2"/>
      </rPr>
      <t xml:space="preserve"> 97.042, 97.044, 97.056, 97.057, 97.067, 97.083</t>
    </r>
  </si>
  <si>
    <r>
      <t>41</t>
    </r>
    <r>
      <rPr>
        <sz val="10"/>
        <rFont val="Arial Narrow"/>
        <family val="2"/>
      </rPr>
      <t xml:space="preserve"> 97.042, 97.043, 97.044, 97.056, 97.067, 97.083</t>
    </r>
  </si>
  <si>
    <r>
      <t>42</t>
    </r>
    <r>
      <rPr>
        <sz val="10"/>
        <rFont val="Arial Narrow"/>
        <family val="2"/>
      </rPr>
      <t xml:space="preserve"> 97.042, 97.044, 97.067, 97.083</t>
    </r>
  </si>
  <si>
    <r>
      <t>43</t>
    </r>
    <r>
      <rPr>
        <sz val="10"/>
        <rFont val="Arial Narrow"/>
        <family val="2"/>
      </rPr>
      <t xml:space="preserve"> 97.042, 97.043, 97.044, 97.056, 97.057, 97.067, 97.083</t>
    </r>
  </si>
  <si>
    <r>
      <t>44</t>
    </r>
    <r>
      <rPr>
        <sz val="10"/>
        <rFont val="Arial Narrow"/>
        <family val="2"/>
      </rPr>
      <t xml:space="preserve"> 97.008, 97.042, 97.043, 97.044, 97.056, 97.057, 97.067, 97.075, 97.083</t>
    </r>
  </si>
  <si>
    <r>
      <t>45</t>
    </r>
    <r>
      <rPr>
        <sz val="10"/>
        <rFont val="Arial Narrow"/>
        <family val="2"/>
      </rPr>
      <t xml:space="preserve"> 97.042, 97.043, 97.044,  97.067, 97.075, 97.083</t>
    </r>
  </si>
  <si>
    <r>
      <t>47</t>
    </r>
    <r>
      <rPr>
        <sz val="10"/>
        <rFont val="Arial Narrow"/>
        <family val="2"/>
      </rPr>
      <t xml:space="preserve"> 97.042, 97.043, 97.044, 97.056, 97.057, 97.067, 97.083</t>
    </r>
  </si>
  <si>
    <r>
      <t>48</t>
    </r>
    <r>
      <rPr>
        <sz val="10"/>
        <rFont val="Arial Narrow"/>
        <family val="2"/>
      </rPr>
      <t xml:space="preserve"> 97.008, 97.042, 97.043, 97.044, 97.056, 97.057, 97.067, 97.083</t>
    </r>
  </si>
  <si>
    <r>
      <t>49</t>
    </r>
    <r>
      <rPr>
        <sz val="10"/>
        <rFont val="Arial Narrow"/>
        <family val="2"/>
      </rPr>
      <t xml:space="preserve"> 97.042,97.044, 97.056, 97.067, 97.083</t>
    </r>
  </si>
  <si>
    <r>
      <t>50</t>
    </r>
    <r>
      <rPr>
        <sz val="10"/>
        <rFont val="Arial Narrow"/>
        <family val="2"/>
      </rPr>
      <t xml:space="preserve"> 97.042, 97.043, 97.044, 97.056, 97.057, 97.067, 97.083</t>
    </r>
  </si>
  <si>
    <r>
      <t>51</t>
    </r>
    <r>
      <rPr>
        <sz val="10"/>
        <rFont val="Arial Narrow"/>
        <family val="2"/>
      </rPr>
      <t xml:space="preserve"> 97.042,  97.044, 97.067, 97.083</t>
    </r>
  </si>
  <si>
    <r>
      <t>55</t>
    </r>
    <r>
      <rPr>
        <sz val="10"/>
        <rFont val="Arial Narrow"/>
        <family val="2"/>
      </rPr>
      <t xml:space="preserve"> 97.042, 97.056, 97.067, 97.083</t>
    </r>
  </si>
  <si>
    <r>
      <t>56</t>
    </r>
    <r>
      <rPr>
        <sz val="10"/>
        <rFont val="Arial Narrow"/>
        <family val="2"/>
      </rPr>
      <t xml:space="preserve"> 97.042</t>
    </r>
  </si>
  <si>
    <r>
      <t>57</t>
    </r>
    <r>
      <rPr>
        <sz val="10"/>
        <rFont val="Arial Narrow"/>
        <family val="2"/>
      </rPr>
      <t xml:space="preserve"> 97.042,  97.044, 97.056,  97.067, 97.083</t>
    </r>
  </si>
  <si>
    <t>Department of Housing and Urban Development, Public and Indian Housing Programs</t>
  </si>
  <si>
    <t>86-0302-0-1-604</t>
  </si>
  <si>
    <t>Table 14-28. Section 8 Housing Choice Vouchers (14.871)</t>
  </si>
  <si>
    <r>
      <t>1</t>
    </r>
    <r>
      <rPr>
        <sz val="10"/>
        <rFont val="Arial Narrow"/>
        <family val="2"/>
      </rPr>
      <t xml:space="preserve"> 378,445</t>
    </r>
  </si>
  <si>
    <r>
      <t>2</t>
    </r>
    <r>
      <rPr>
        <sz val="10"/>
        <rFont val="Arial Narrow"/>
        <family val="2"/>
      </rPr>
      <t xml:space="preserve"> 240,865</t>
    </r>
  </si>
  <si>
    <r>
      <t>3</t>
    </r>
    <r>
      <rPr>
        <sz val="10"/>
        <rFont val="Arial Narrow"/>
        <family val="2"/>
      </rPr>
      <t xml:space="preserve"> 327,000</t>
    </r>
  </si>
  <si>
    <r>
      <t>1</t>
    </r>
    <r>
      <rPr>
        <sz val="10"/>
        <rFont val="Arial Narrow"/>
        <family val="2"/>
      </rPr>
      <t xml:space="preserve"> Includes obligations for the Contract Renewal Set-Aside, Tenant Protection Vouchers, HUD-VA Supportive Housing (HUD-VASH), Tribal HUD-VASH, Rental Assistance Demonstration (RAD) conversions, and Family Unification Program (FUP) vouchers.</t>
    </r>
  </si>
  <si>
    <r>
      <t>2</t>
    </r>
    <r>
      <rPr>
        <sz val="10"/>
        <rFont val="Arial Narrow"/>
        <family val="2"/>
      </rPr>
      <t xml:space="preserve"> Includes obligations for the Contract Renewal Set-Aside, Tenant Protection Vouchers, HUD-VASH, Tribal HUD-VASH, RAD conversions, and FUP vouchers.</t>
    </r>
  </si>
  <si>
    <r>
      <t>3</t>
    </r>
    <r>
      <rPr>
        <sz val="10"/>
        <rFont val="Arial Narrow"/>
        <family val="2"/>
      </rPr>
      <t xml:space="preserve"> Includes obligations for Contract Renewal Set-Aside, Tenant Protection Vouchers, Tribal HUD-VASH, and RAD conversions.</t>
    </r>
  </si>
  <si>
    <t>86-0163-0-1-604</t>
  </si>
  <si>
    <t>Table 14-29. Public Housing Operating Fund (14.850)</t>
  </si>
  <si>
    <t>86-0304-0-1-604</t>
  </si>
  <si>
    <t>Table 14-30. Public Housing Capital Fund (14.872)</t>
  </si>
  <si>
    <t>Department of Housing and Urban Development, Community Planning and Development</t>
  </si>
  <si>
    <t>86-0162-0-1-451</t>
  </si>
  <si>
    <t>Table 14-31. Community Development Block Grant (14.218; 14.225; 14.228; 14.862)</t>
  </si>
  <si>
    <t>Table 14-32. Community Development Block Grant - Disaster Recovery (14.218; 14.228; 14.269)</t>
  </si>
  <si>
    <t>Department of Labor, Employment and Training Administration</t>
  </si>
  <si>
    <t>16-0179-0-1-603</t>
  </si>
  <si>
    <t>Table 14-33. Unemployment Insurance (17.225)</t>
  </si>
  <si>
    <t>Department of Health and Human Services</t>
  </si>
  <si>
    <t>National Assoc. of State Workforce Agencies</t>
  </si>
  <si>
    <t>Department of Transportation, Federal Transit Administration</t>
  </si>
  <si>
    <t>69-8350-0-7-401</t>
  </si>
  <si>
    <t>Table 14-34. Transit Formula Grants Programs (20.507)</t>
  </si>
  <si>
    <r>
      <t>1</t>
    </r>
    <r>
      <rPr>
        <sz val="10"/>
        <rFont val="Arial Narrow"/>
        <family val="2"/>
      </rPr>
      <t xml:space="preserve"> 83,000</t>
    </r>
  </si>
  <si>
    <r>
      <t>2</t>
    </r>
    <r>
      <rPr>
        <sz val="10"/>
        <rFont val="Arial Narrow"/>
        <family val="2"/>
      </rPr>
      <t xml:space="preserve"> 48,450</t>
    </r>
  </si>
  <si>
    <r>
      <t>3</t>
    </r>
    <r>
      <rPr>
        <sz val="10"/>
        <rFont val="Arial Narrow"/>
        <family val="2"/>
      </rPr>
      <t xml:space="preserve"> 36,550</t>
    </r>
  </si>
  <si>
    <r>
      <t>4</t>
    </r>
    <r>
      <rPr>
        <sz val="10"/>
        <rFont val="Arial Narrow"/>
        <family val="2"/>
      </rPr>
      <t xml:space="preserve"> 85,000</t>
    </r>
  </si>
  <si>
    <r>
      <t>5</t>
    </r>
    <r>
      <rPr>
        <b/>
        <sz val="10"/>
        <rFont val="Arial Narrow"/>
        <family val="2"/>
      </rPr>
      <t xml:space="preserve"> 100.00</t>
    </r>
  </si>
  <si>
    <r>
      <t>5</t>
    </r>
    <r>
      <rPr>
        <sz val="10"/>
        <rFont val="Arial Narrow"/>
        <family val="2"/>
      </rPr>
      <t xml:space="preserve"> Excludes undistributed obligations.</t>
    </r>
  </si>
  <si>
    <t>Department of Transportation, Federal Aviation Administration</t>
  </si>
  <si>
    <t>69-8106-0-7-402</t>
  </si>
  <si>
    <t>Table 14-35. Airport Improvement Program (20.106)</t>
  </si>
  <si>
    <t>Department of Transportation, Federal Highway Administration</t>
  </si>
  <si>
    <t>69-8083-0-7-401</t>
  </si>
  <si>
    <t>Table 14-36. Highway Planning and Construction (20.205)</t>
  </si>
  <si>
    <r>
      <t>1</t>
    </r>
    <r>
      <rPr>
        <sz val="10"/>
        <rFont val="Arial Narrow"/>
        <family val="2"/>
      </rPr>
      <t xml:space="preserve"> 122,120</t>
    </r>
  </si>
  <si>
    <r>
      <t>1</t>
    </r>
    <r>
      <rPr>
        <sz val="10"/>
        <rFont val="Arial Narrow"/>
        <family val="2"/>
      </rPr>
      <t xml:space="preserve"> 6,616,874</t>
    </r>
  </si>
  <si>
    <r>
      <t>1</t>
    </r>
    <r>
      <rPr>
        <sz val="10"/>
        <rFont val="Arial Narrow"/>
        <family val="2"/>
      </rPr>
      <t xml:space="preserve"> 6,686,666</t>
    </r>
  </si>
  <si>
    <r>
      <t>1</t>
    </r>
    <r>
      <rPr>
        <sz val="10"/>
        <rFont val="Arial Narrow"/>
        <family val="2"/>
      </rPr>
      <t xml:space="preserve"> This amount includes funding for allocated programs, which has not been identified as being provided to a specific State at this time.</t>
    </r>
  </si>
  <si>
    <t>Environmental Protection Agency, Office of Water</t>
  </si>
  <si>
    <t>68-0103-0-1-304</t>
  </si>
  <si>
    <t>Table 14-37. Capitalization Grants for Clean Water State Revolving Fund (66.458)</t>
  </si>
  <si>
    <t>Interagency Agreements with Indian Health Service</t>
  </si>
  <si>
    <r>
      <t>1</t>
    </r>
    <r>
      <rPr>
        <sz val="10"/>
        <rFont val="Arial Narrow"/>
        <family val="2"/>
      </rPr>
      <t xml:space="preserve"> 8,812</t>
    </r>
  </si>
  <si>
    <t>American Iron and Steel Management and Oversight</t>
  </si>
  <si>
    <r>
      <t>2</t>
    </r>
    <r>
      <rPr>
        <sz val="10"/>
        <rFont val="Arial Narrow"/>
        <family val="2"/>
      </rPr>
      <t xml:space="preserve"> 756</t>
    </r>
  </si>
  <si>
    <r>
      <t>1</t>
    </r>
    <r>
      <rPr>
        <sz val="10"/>
        <rFont val="Arial Narrow"/>
        <family val="2"/>
      </rPr>
      <t xml:space="preserve"> Interagency Agreements with the Indian Health Service to increase access to wastewater infrastructure.</t>
    </r>
  </si>
  <si>
    <r>
      <t>2</t>
    </r>
    <r>
      <rPr>
        <sz val="10"/>
        <rFont val="Arial Narrow"/>
        <family val="2"/>
      </rPr>
      <t xml:space="preserve"> Section 424 of P.L. 114-113, which amended the CWA, provides EPA the authority to retain up to 0.25 percent of CWSRF and DWSRF appropriated funds for American Iron and Steel Management and Oversight.</t>
    </r>
  </si>
  <si>
    <t>Table 14-38. Capitalization Grants for Drinking Water State Revolving Fund (66.468)</t>
  </si>
  <si>
    <r>
      <t>1</t>
    </r>
    <r>
      <rPr>
        <sz val="10"/>
        <rFont val="Arial Narrow"/>
        <family val="2"/>
      </rPr>
      <t xml:space="preserve"> 1,560</t>
    </r>
  </si>
  <si>
    <t>Surface Water Treatment Training</t>
  </si>
  <si>
    <r>
      <t>2</t>
    </r>
    <r>
      <rPr>
        <sz val="10"/>
        <rFont val="Arial Narrow"/>
        <family val="2"/>
      </rPr>
      <t xml:space="preserve"> 225</t>
    </r>
  </si>
  <si>
    <t>SEE Grant Program</t>
  </si>
  <si>
    <r>
      <t>3</t>
    </r>
    <r>
      <rPr>
        <sz val="10"/>
        <rFont val="Arial Narrow"/>
        <family val="2"/>
      </rPr>
      <t xml:space="preserve"> 50</t>
    </r>
  </si>
  <si>
    <t>UCMR</t>
  </si>
  <si>
    <r>
      <t>4</t>
    </r>
    <r>
      <rPr>
        <sz val="10"/>
        <rFont val="Arial Narrow"/>
        <family val="2"/>
      </rPr>
      <t xml:space="preserve"> 536</t>
    </r>
  </si>
  <si>
    <r>
      <t>5</t>
    </r>
    <r>
      <rPr>
        <sz val="10"/>
        <rFont val="Arial Narrow"/>
        <family val="2"/>
      </rPr>
      <t xml:space="preserve"> 3,760</t>
    </r>
  </si>
  <si>
    <t>Lead Infrastructure</t>
  </si>
  <si>
    <r>
      <t>6</t>
    </r>
    <r>
      <rPr>
        <sz val="10"/>
        <rFont val="Arial Narrow"/>
        <family val="2"/>
      </rPr>
      <t xml:space="preserve"> 100,000</t>
    </r>
  </si>
  <si>
    <r>
      <t>7</t>
    </r>
    <r>
      <rPr>
        <b/>
        <sz val="10"/>
        <rFont val="Arial Narrow"/>
        <family val="2"/>
      </rPr>
      <t xml:space="preserve"> 100.00</t>
    </r>
  </si>
  <si>
    <r>
      <t>1</t>
    </r>
    <r>
      <rPr>
        <sz val="10"/>
        <rFont val="Arial Narrow"/>
        <family val="2"/>
      </rPr>
      <t xml:space="preserve"> Section 424 of P.L. 114-113, which amended the CWA, provides EPA the authority to retain up to 0.25 percent of CWSRF and DWSRF appropriated funds for American Iron and Steel Management and Oversight.</t>
    </r>
  </si>
  <si>
    <r>
      <t>2</t>
    </r>
    <r>
      <rPr>
        <sz val="10"/>
        <rFont val="Arial Narrow"/>
        <family val="2"/>
      </rPr>
      <t xml:space="preserve"> Contract awarded to Process Applications, Inc., to train Kansas Department of Health and Environment staff on surface water treatments. When possible EPA includes the future estimates in the non-state recipients, however, in some cases the formula does not allow EPA to forecast the amount.</t>
    </r>
  </si>
  <si>
    <r>
      <t>3</t>
    </r>
    <r>
      <rPr>
        <sz val="10"/>
        <rFont val="Arial Narrow"/>
        <family val="2"/>
      </rPr>
      <t xml:space="preserve"> Senior Environmental Employee (SEE) Program grant program to provide administrative support for the DWSRF through the State set-aside for Administration and Technical Assistance.</t>
    </r>
  </si>
  <si>
    <r>
      <t>5</t>
    </r>
    <r>
      <rPr>
        <sz val="10"/>
        <rFont val="Arial Narrow"/>
        <family val="2"/>
      </rPr>
      <t xml:space="preserve"> Interagency Agreements with the Indian Health Service to provide services to increase basic drinking water access by providing drinking water infrastructure to Indian Tribes. When possible EPA includes the future estimates in the non-state recipients, however, in some cases the formula does not allow EPA to forecast the amount.</t>
    </r>
  </si>
  <si>
    <r>
      <t>6</t>
    </r>
    <r>
      <rPr>
        <sz val="10"/>
        <rFont val="Arial Narrow"/>
        <family val="2"/>
      </rPr>
      <t xml:space="preserve"> Section 196 (a) of P.L. 114-254 provided an additional one-time $100,000,000 to address lead infrastructure in communities with declared emergencies relating to public health threats associated with lead in drinking water. The full amount was allocated to Flint, MI.</t>
    </r>
  </si>
  <si>
    <r>
      <t>7</t>
    </r>
    <r>
      <rPr>
        <sz val="10"/>
        <rFont val="Arial Narrow"/>
        <family val="2"/>
      </rPr>
      <t xml:space="preserve"> Excludes undistributed obligations.</t>
    </r>
  </si>
  <si>
    <t>27-5183-0-2-376</t>
  </si>
  <si>
    <t>2019 Budget State-by-State Tables</t>
  </si>
  <si>
    <t>14-3</t>
  </si>
  <si>
    <t>14-4</t>
  </si>
  <si>
    <t>Summary of Programs by Agency, Bureau, and Program</t>
  </si>
  <si>
    <t>Summary of Programs by State</t>
  </si>
  <si>
    <t>N/A</t>
  </si>
  <si>
    <r>
      <t>1</t>
    </r>
    <r>
      <rPr>
        <sz val="10"/>
        <rFont val="Arial Narrow"/>
        <family val="2"/>
      </rPr>
      <t xml:space="preserve"> 60,223,130</t>
    </r>
  </si>
  <si>
    <r>
      <t>1</t>
    </r>
    <r>
      <rPr>
        <sz val="10"/>
        <rFont val="Arial Narrow"/>
        <family val="2"/>
      </rPr>
      <t xml:space="preserve"> 5,243,127</t>
    </r>
  </si>
  <si>
    <r>
      <t>1</t>
    </r>
    <r>
      <rPr>
        <sz val="10"/>
        <rFont val="Arial Narrow"/>
        <family val="2"/>
      </rPr>
      <t xml:space="preserve"> 2,868,938</t>
    </r>
  </si>
  <si>
    <r>
      <t>1</t>
    </r>
    <r>
      <rPr>
        <sz val="10"/>
        <rFont val="Arial Narrow"/>
        <family val="2"/>
      </rPr>
      <t xml:space="preserve"> 940,769</t>
    </r>
  </si>
  <si>
    <r>
      <t>2</t>
    </r>
    <r>
      <rPr>
        <sz val="10"/>
        <rFont val="Arial Narrow"/>
        <family val="2"/>
      </rPr>
      <t xml:space="preserve"> The FY 2018 and FY 2019 estimates for Puerto Rico and the Commonwealth of the Northern Mariana Islands have been adjusted to account for the limitation on total Medicaid payments to each territory as defined by 42 U.S.C. 1308 as well as the additional funding for the Territories provided under 42 U.S.C. 18043.  (Note: The limitation on Medicaid payments to territories under 42 U.S.C. 1308 is not yet available for FY 2019, so the FY 2019 column assumes the FY 2018 limitation applies.)</t>
    </r>
  </si>
  <si>
    <r>
      <t>2</t>
    </r>
    <r>
      <rPr>
        <sz val="10"/>
        <rFont val="Arial Narrow"/>
        <family val="2"/>
      </rPr>
      <t xml:space="preserve"> 19,967</t>
    </r>
  </si>
  <si>
    <r>
      <t>2</t>
    </r>
    <r>
      <rPr>
        <sz val="10"/>
        <rFont val="Arial Narrow"/>
        <family val="2"/>
      </rPr>
      <t xml:space="preserve"> 824,100</t>
    </r>
  </si>
  <si>
    <r>
      <t>2</t>
    </r>
    <r>
      <rPr>
        <sz val="10"/>
        <rFont val="Arial Narrow"/>
        <family val="2"/>
      </rPr>
      <t xml:space="preserve"> 359,200</t>
    </r>
  </si>
  <si>
    <t>*</t>
  </si>
  <si>
    <r>
      <rPr>
        <vertAlign val="superscript"/>
        <sz val="10"/>
        <rFont val="Arial Narrow"/>
        <family val="2"/>
      </rPr>
      <t>1</t>
    </r>
    <r>
      <rPr>
        <sz val="10"/>
        <rFont val="Arial Narrow"/>
        <family val="2"/>
      </rPr>
      <t xml:space="preserve"> FY 2017 funds include $3,282,085 of unspent FY 2016 funds that were reallocated to States ($2,419,841) and tribes ($862,244) for use in FY 2017.</t>
    </r>
  </si>
  <si>
    <r>
      <rPr>
        <vertAlign val="superscript"/>
        <sz val="10"/>
        <rFont val="Arial Narrow"/>
        <family val="2"/>
      </rPr>
      <t>2</t>
    </r>
    <r>
      <rPr>
        <sz val="10"/>
        <rFont val="Arial Narrow"/>
        <family val="2"/>
      </rPr>
      <t xml:space="preserve"> State allocation in all years are subject to change based on tribal agreements, therefore all final State allocations will be included on the HHS/ACF Office of Community Services web site.</t>
    </r>
  </si>
  <si>
    <r>
      <rPr>
        <b/>
        <vertAlign val="superscript"/>
        <sz val="10"/>
        <rFont val="Arial Narrow"/>
        <family val="2"/>
      </rPr>
      <t>1, 2</t>
    </r>
    <r>
      <rPr>
        <b/>
        <sz val="10"/>
        <rFont val="Arial Narrow"/>
        <family val="2"/>
      </rPr>
      <t xml:space="preserve"> 3,393,585</t>
    </r>
  </si>
  <si>
    <r>
      <rPr>
        <b/>
        <vertAlign val="superscript"/>
        <sz val="10"/>
        <rFont val="Arial Narrow"/>
        <family val="2"/>
      </rPr>
      <t>2</t>
    </r>
    <r>
      <rPr>
        <b/>
        <sz val="10"/>
        <rFont val="Arial Narrow"/>
        <family val="2"/>
      </rPr>
      <t xml:space="preserve"> 3,367,280</t>
    </r>
  </si>
  <si>
    <r>
      <rPr>
        <vertAlign val="superscript"/>
        <sz val="10"/>
        <rFont val="Arial Narrow"/>
        <family val="2"/>
      </rPr>
      <t>1</t>
    </r>
    <r>
      <rPr>
        <sz val="10"/>
        <rFont val="Arial Narrow"/>
        <family val="2"/>
      </rPr>
      <t xml:space="preserve"> Funding for FY 2017 includes the reallocation of unused money from FY 2016 in the amount of $26,967,325.</t>
    </r>
  </si>
  <si>
    <r>
      <rPr>
        <b/>
        <vertAlign val="superscript"/>
        <sz val="10"/>
        <rFont val="Arial Narrow"/>
        <family val="2"/>
      </rPr>
      <t>1</t>
    </r>
    <r>
      <rPr>
        <b/>
        <sz val="10"/>
        <rFont val="Arial Narrow"/>
        <family val="2"/>
      </rPr>
      <t xml:space="preserve"> 1,689,518</t>
    </r>
  </si>
  <si>
    <t>NOTE: The FY 2019 President's Budget proposes simplified appropriations language that moves $640 million in funding for EHS-CC Partnerships and Early Head Start expansion into the base Head Start appropriations.  All funds are now displayed together in this table.</t>
  </si>
  <si>
    <r>
      <rPr>
        <vertAlign val="superscript"/>
        <sz val="10"/>
        <rFont val="Arial Narrow"/>
        <family val="2"/>
      </rPr>
      <t>2</t>
    </r>
    <r>
      <rPr>
        <sz val="10"/>
        <rFont val="Arial Narrow"/>
        <family val="2"/>
      </rPr>
      <t xml:space="preserve"> FY 2017 includes about $283 million carried over from FY 2016 funds before the separate funding to increase program hours was rolled into the base Head Start appropriation in FY 2017.  FY 2017 also includes about $124 million carried over from FY 2016 for EHS-CC Partnerships and Early Head Start expansion.</t>
    </r>
  </si>
  <si>
    <r>
      <rPr>
        <b/>
        <vertAlign val="superscript"/>
        <sz val="10"/>
        <rFont val="Arial Narrow"/>
        <family val="2"/>
      </rPr>
      <t>2</t>
    </r>
    <r>
      <rPr>
        <b/>
        <sz val="10"/>
        <rFont val="Arial Narrow"/>
        <family val="2"/>
      </rPr>
      <t xml:space="preserve"> 9,553,982</t>
    </r>
  </si>
  <si>
    <r>
      <rPr>
        <b/>
        <vertAlign val="superscript"/>
        <sz val="10"/>
        <rFont val="Arial Narrow"/>
        <family val="2"/>
      </rPr>
      <t>3</t>
    </r>
    <r>
      <rPr>
        <b/>
        <sz val="10"/>
        <rFont val="Arial Narrow"/>
        <family val="2"/>
      </rPr>
      <t xml:space="preserve"> 9,268,085</t>
    </r>
  </si>
  <si>
    <r>
      <rPr>
        <vertAlign val="superscript"/>
        <sz val="10"/>
        <rFont val="Arial Narrow"/>
        <family val="2"/>
      </rPr>
      <t>3</t>
    </r>
    <r>
      <rPr>
        <sz val="10"/>
        <rFont val="Arial Narrow"/>
        <family val="2"/>
      </rPr>
      <t xml:space="preserve"> FY 2018 includes approximately $78 million carried over from FY 2017 funds for EHS-CC Partnerships and Early Head Start expansion.</t>
    </r>
  </si>
  <si>
    <r>
      <t xml:space="preserve">4 </t>
    </r>
    <r>
      <rPr>
        <sz val="10"/>
        <rFont val="Arial Narrow"/>
        <family val="2"/>
      </rPr>
      <t>Excludes undistributed obligations.</t>
    </r>
  </si>
  <si>
    <t>NOTE: Multiple States have capped allocation waiver demonstration projects under Section 1130 of Social Security Act for portions of their Foster Care programs. This table may not fully reflect the terms and conditions of any such waiver agreement.</t>
  </si>
  <si>
    <r>
      <rPr>
        <b/>
        <vertAlign val="superscript"/>
        <sz val="10"/>
        <rFont val="Arial Narrow"/>
        <family val="2"/>
      </rPr>
      <t>1</t>
    </r>
    <r>
      <rPr>
        <b/>
        <sz val="10"/>
        <rFont val="Arial Narrow"/>
        <family val="2"/>
      </rPr>
      <t xml:space="preserve"> 5,350,000</t>
    </r>
  </si>
  <si>
    <r>
      <rPr>
        <b/>
        <vertAlign val="superscript"/>
        <sz val="10"/>
        <rFont val="Arial Narrow"/>
        <family val="2"/>
      </rPr>
      <t>1</t>
    </r>
    <r>
      <rPr>
        <b/>
        <sz val="10"/>
        <rFont val="Arial Narrow"/>
        <family val="2"/>
      </rPr>
      <t xml:space="preserve"> 3,076,000</t>
    </r>
  </si>
  <si>
    <r>
      <rPr>
        <vertAlign val="superscript"/>
        <sz val="10"/>
        <rFont val="Arial Narrow"/>
        <family val="2"/>
      </rPr>
      <t>1</t>
    </r>
    <r>
      <rPr>
        <sz val="10"/>
        <rFont val="Arial Narrow"/>
        <family val="2"/>
      </rPr>
      <t xml:space="preserve"> FY 2019 State totals reflect the interaction effects from the proposal to eliminate Social Services Block Grant funding.</t>
    </r>
  </si>
  <si>
    <r>
      <rPr>
        <vertAlign val="superscript"/>
        <sz val="10"/>
        <rFont val="Arial Narrow"/>
        <family val="2"/>
      </rPr>
      <t>1</t>
    </r>
    <r>
      <rPr>
        <sz val="10"/>
        <rFont val="Arial Narrow"/>
        <family val="2"/>
      </rPr>
      <t xml:space="preserve"> FY 2019 state totals reflect the interaction effects from the proposal to eliminate Social Services Block Grant funding.</t>
    </r>
  </si>
  <si>
    <r>
      <t>1</t>
    </r>
    <r>
      <rPr>
        <sz val="10"/>
        <rFont val="Arial Narrow"/>
        <family val="2"/>
      </rPr>
      <t xml:space="preserve"> Freely Associated States data include data from the Republic of Palau, the Republic of the Marshall Islands, and the Federated States of Micronesia.</t>
    </r>
  </si>
  <si>
    <r>
      <rPr>
        <vertAlign val="superscript"/>
        <sz val="10"/>
        <rFont val="Arial Narrow"/>
        <family val="2"/>
      </rPr>
      <t>1</t>
    </r>
    <r>
      <rPr>
        <sz val="10"/>
        <rFont val="Arial Narrow"/>
        <family val="2"/>
      </rPr>
      <t xml:space="preserve"> 50</t>
    </r>
  </si>
  <si>
    <r>
      <rPr>
        <vertAlign val="superscript"/>
        <sz val="10"/>
        <rFont val="Arial Narrow"/>
        <family val="2"/>
      </rPr>
      <t>1</t>
    </r>
    <r>
      <rPr>
        <sz val="10"/>
        <rFont val="Arial Narrow"/>
        <family val="2"/>
      </rPr>
      <t xml:space="preserve"> 101</t>
    </r>
  </si>
  <si>
    <r>
      <t>2</t>
    </r>
    <r>
      <rPr>
        <sz val="10"/>
        <rFont val="Arial Narrow"/>
        <family val="2"/>
      </rPr>
      <t xml:space="preserve"> FY 2018 data for each state and territory is not available.</t>
    </r>
  </si>
  <si>
    <r>
      <t>3</t>
    </r>
    <r>
      <rPr>
        <sz val="10"/>
        <rFont val="Arial Narrow"/>
        <family val="2"/>
      </rPr>
      <t xml:space="preserve"> FY 2019 data for each state and territory is not available.</t>
    </r>
  </si>
  <si>
    <r>
      <t>3</t>
    </r>
    <r>
      <rPr>
        <sz val="10"/>
        <rFont val="Arial Narrow"/>
        <family val="2"/>
      </rPr>
      <t xml:space="preserve"> 1,315,005</t>
    </r>
  </si>
  <si>
    <r>
      <t>2</t>
    </r>
    <r>
      <rPr>
        <sz val="10"/>
        <rFont val="Arial Narrow"/>
        <family val="2"/>
      </rPr>
      <t xml:space="preserve"> 1,306,075</t>
    </r>
  </si>
  <si>
    <r>
      <t>1</t>
    </r>
    <r>
      <rPr>
        <sz val="10"/>
        <rFont val="Arial Narrow"/>
        <family val="2"/>
      </rPr>
      <t xml:space="preserve"> FY 2017 undistributed line is the Oversight take down of $83,000.</t>
    </r>
  </si>
  <si>
    <r>
      <t>2</t>
    </r>
    <r>
      <rPr>
        <sz val="10"/>
        <rFont val="Arial Narrow"/>
        <family val="2"/>
      </rPr>
      <t xml:space="preserve"> FY 2018 undistributed line is the Oversight take down of $48,450.</t>
    </r>
  </si>
  <si>
    <r>
      <t>3</t>
    </r>
    <r>
      <rPr>
        <sz val="10"/>
        <rFont val="Arial Narrow"/>
        <family val="2"/>
      </rPr>
      <t xml:space="preserve"> FY 2018 undistributed line is the Oversight take down of $36,550.</t>
    </r>
  </si>
  <si>
    <r>
      <t>4</t>
    </r>
    <r>
      <rPr>
        <sz val="10"/>
        <rFont val="Arial Narrow"/>
        <family val="2"/>
      </rPr>
      <t xml:space="preserve"> FY 2019 undistributed line is the Oversight take down of $85,000.</t>
    </r>
  </si>
  <si>
    <t>NOTE: This table also includes budget account number 69-0500-0-1-401.</t>
  </si>
  <si>
    <r>
      <rPr>
        <vertAlign val="superscript"/>
        <sz val="10"/>
        <rFont val="Arial Narrow"/>
        <family val="2"/>
      </rPr>
      <t>2</t>
    </r>
    <r>
      <rPr>
        <sz val="10"/>
        <rFont val="Arial Narrow"/>
        <family val="2"/>
      </rPr>
      <t xml:space="preserve"> The FY 2018 column reflects the estimated distribution of Federal-aid highways obligation limitation plus exempt contract authority post sequestration and estimated Emergency Relief Program amounts.</t>
    </r>
  </si>
  <si>
    <r>
      <rPr>
        <b/>
        <vertAlign val="superscript"/>
        <sz val="10"/>
        <rFont val="Arial Narrow"/>
        <family val="2"/>
      </rPr>
      <t>3</t>
    </r>
    <r>
      <rPr>
        <b/>
        <sz val="10"/>
        <rFont val="Arial Narrow"/>
        <family val="2"/>
      </rPr>
      <t xml:space="preserve"> 46,007,596</t>
    </r>
  </si>
  <si>
    <r>
      <rPr>
        <b/>
        <vertAlign val="superscript"/>
        <sz val="10"/>
        <rFont val="Arial Narrow"/>
        <family val="2"/>
      </rPr>
      <t>2</t>
    </r>
    <r>
      <rPr>
        <b/>
        <sz val="10"/>
        <rFont val="Arial Narrow"/>
        <family val="2"/>
      </rPr>
      <t xml:space="preserve"> 45,170,589</t>
    </r>
  </si>
  <si>
    <r>
      <rPr>
        <vertAlign val="superscript"/>
        <sz val="10"/>
        <rFont val="Arial Narrow"/>
        <family val="2"/>
      </rPr>
      <t>3</t>
    </r>
    <r>
      <rPr>
        <sz val="10"/>
        <rFont val="Arial Narrow"/>
        <family val="2"/>
      </rPr>
      <t xml:space="preserve"> The FY 2019 column reflects estimated distributions of Federal-aid highways obligation limitation plus exempt contract authority and estimated Emergency Relief Program amounts.</t>
    </r>
  </si>
  <si>
    <r>
      <t>4</t>
    </r>
    <r>
      <rPr>
        <sz val="10"/>
        <rFont val="Arial Narrow"/>
        <family val="2"/>
      </rPr>
      <t xml:space="preserve"> These funds are a set-aside of the DWSRF program ($2 million annually) to pay for the cost of monitoring for unregulated contaminants at systems serving fewer than 10,000 people. EPA uses the Unregulated Contaminant Monitoring (UCM) program to collect data for contaminants suspected to be present in drinking water, but that do not have health-based standards set under the Safe Drinking Water Act (SDWA).</t>
    </r>
  </si>
  <si>
    <t>Table 14-39. Universal Service Fund E-Rate</t>
  </si>
  <si>
    <t xml:space="preserve">The State-by-State Tables are provided as supplemental material to Chapter 14, “Aid to State and Local Governments,” in the Budget’s Analytical Perspectives volume.  This supplement includes two tables that summarize State-by-State spending for select grant programs to State and local governments.  The first summary table (14-3), “Summary of Programs by Agency, Bureau, and Program” shows obligations for each program by agency and bureau.  The second summary table (14-4), “Summary of Grant Programs by State,’’ shows total obligations across all programs for each State.  The programs in this supplement cover more than 88 percent of total grant spending.  </t>
  </si>
  <si>
    <t>FY 2019 Budget State-by-State Tables</t>
  </si>
  <si>
    <t>The Federal agency that administers the program.</t>
  </si>
  <si>
    <r>
      <t xml:space="preserve">The program title and number as contained in the </t>
    </r>
    <r>
      <rPr>
        <i/>
        <sz val="12"/>
        <color indexed="8"/>
        <rFont val="Arial"/>
        <family val="2"/>
      </rPr>
      <t>Catalog of Federal Domestic Assistance.</t>
    </r>
  </si>
  <si>
    <t>The Treasury budget account number from which the program is funded.</t>
  </si>
  <si>
    <t>1)</t>
  </si>
  <si>
    <t>2)</t>
  </si>
  <si>
    <t>3)</t>
  </si>
  <si>
    <t>4)</t>
  </si>
  <si>
    <t>5)</t>
  </si>
  <si>
    <t>6)</t>
  </si>
  <si>
    <t>7)</t>
  </si>
  <si>
    <t xml:space="preserve">Universal Service Fund E-Rate       </t>
  </si>
  <si>
    <t xml:space="preserve">Capitalization Grants for Drinking Water State Revolving Fund (66.468)             </t>
  </si>
  <si>
    <t xml:space="preserve">Capitalization Grants for Clean Water State Revolving Fund (66.458)             </t>
  </si>
  <si>
    <t xml:space="preserve">Highway Planning and Construction (20.205)             </t>
  </si>
  <si>
    <t xml:space="preserve">Airport Improvement Program (20.106)             </t>
  </si>
  <si>
    <t xml:space="preserve">Transit Formula Grants Programs (20.507)             </t>
  </si>
  <si>
    <t xml:space="preserve">Unemployment Insurance (17.225)             </t>
  </si>
  <si>
    <t xml:space="preserve">Community Development Block Grant - Disaster Recovery (14.218; 14.228; 14.269)             </t>
  </si>
  <si>
    <t xml:space="preserve">Community Development Block Grant (14.218; 14.225; 14.228; 14.862)             </t>
  </si>
  <si>
    <t xml:space="preserve">Public Housing Capital Fund (14.872)             </t>
  </si>
  <si>
    <t xml:space="preserve">Public Housing Operating Fund (14.850)             </t>
  </si>
  <si>
    <t xml:space="preserve">Section 8 Housing Choice Vouchers (14.871)             </t>
  </si>
  <si>
    <t xml:space="preserve">FEMA Preparedness Grants (97.067 et al)             </t>
  </si>
  <si>
    <t xml:space="preserve">Ryan White HIV/AIDS Treatment Modernization Act-Part B HIV Care Grants (93.917)             </t>
  </si>
  <si>
    <t xml:space="preserve">Social Services Block Grant (93.667)             </t>
  </si>
  <si>
    <t xml:space="preserve">Adoption Assistance (93.659)             </t>
  </si>
  <si>
    <t xml:space="preserve">Foster Care-Title IV-E (93.658)             </t>
  </si>
  <si>
    <t xml:space="preserve">Head Start (93.600)             </t>
  </si>
  <si>
    <t xml:space="preserve">Child Care and Development Fund-Matching (93.596B)             </t>
  </si>
  <si>
    <t xml:space="preserve">Child Care and Development Fund-Mandatory (93.596A)             </t>
  </si>
  <si>
    <t xml:space="preserve">Child Care and Development Block Grant (93.575)             </t>
  </si>
  <si>
    <t xml:space="preserve">Low Income Home Energy Assistance Program (93.568)             </t>
  </si>
  <si>
    <t xml:space="preserve">Child Support Enforcement-Federal Share of State and Local Administrative Costs and Incentives (93.563)             </t>
  </si>
  <si>
    <t xml:space="preserve">Temporary Assistance for Needy Families (TANF)-Family Assistance Grants (93.558)             </t>
  </si>
  <si>
    <t xml:space="preserve">Grants to States for Medicaid (93.778)             </t>
  </si>
  <si>
    <t xml:space="preserve">Children's Health Insurance Program (93.767)             </t>
  </si>
  <si>
    <t xml:space="preserve">Vocational Rehabilitation Grants (84.126)             </t>
  </si>
  <si>
    <t xml:space="preserve">Special Education-Grants to States (84.027)             </t>
  </si>
  <si>
    <t xml:space="preserve">Supporting Effective Instruction State Grants (formerly Improving Teacher Quality State Grants) (84.367)             </t>
  </si>
  <si>
    <t xml:space="preserve">Title I Grants to Local Educational Agencies (84.010)             </t>
  </si>
  <si>
    <t xml:space="preserve">State Administrative Matching Grants for the Supplemental Nutrition Assistance Program (Food Stamps) (10.561)             </t>
  </si>
  <si>
    <t xml:space="preserve">Child and Adult Care Food Program (10.558)             </t>
  </si>
  <si>
    <t xml:space="preserve">Special Supplemental Nutrition Program for Women, Infants, and Children (WIC) (10.557)             </t>
  </si>
  <si>
    <t xml:space="preserve">National School Lunch Program (10.555)             </t>
  </si>
  <si>
    <t xml:space="preserve">School Breakfast Program (10.553)             </t>
  </si>
  <si>
    <t>New authority</t>
  </si>
  <si>
    <t>FY 2017 (actual)</t>
  </si>
  <si>
    <t>Agency, Bureau, and Program</t>
  </si>
  <si>
    <t>(Obligations in millions of dollars)</t>
  </si>
  <si>
    <t>Table 14-3. Summary of Programs by Agency, Bureau, and Program</t>
  </si>
  <si>
    <t>Total, including undistributed</t>
  </si>
  <si>
    <r>
      <t>Not distributed by State in all years</t>
    </r>
    <r>
      <rPr>
        <vertAlign val="superscript"/>
        <sz val="10"/>
        <rFont val="Arial Narrow"/>
        <family val="2"/>
      </rPr>
      <t xml:space="preserve"> 1</t>
    </r>
  </si>
  <si>
    <t/>
  </si>
  <si>
    <t>MEMORANDUM:</t>
  </si>
  <si>
    <t>Total, programs distributed by State in all years</t>
  </si>
  <si>
    <t>Programs distributed in all years</t>
  </si>
  <si>
    <t>All programs FY 2017 (actual)</t>
  </si>
  <si>
    <t>Table 14-4. Summary of Programs by State</t>
  </si>
  <si>
    <r>
      <rPr>
        <vertAlign val="superscript"/>
        <sz val="10"/>
        <rFont val="Arial Narrow"/>
        <family val="2"/>
      </rPr>
      <t>1</t>
    </r>
    <r>
      <rPr>
        <sz val="10"/>
        <rFont val="Arial Narrow"/>
        <family val="2"/>
      </rPr>
      <t xml:space="preserve"> Data for the U.S. Virgin Islands are preliminary and incomplete.</t>
    </r>
  </si>
  <si>
    <r>
      <rPr>
        <vertAlign val="superscript"/>
        <sz val="10"/>
        <rFont val="Arial Narrow"/>
        <family val="2"/>
      </rPr>
      <t>1</t>
    </r>
    <r>
      <rPr>
        <sz val="10"/>
        <rFont val="Arial Narrow"/>
        <family val="2"/>
      </rPr>
      <t xml:space="preserve"> 32</t>
    </r>
  </si>
  <si>
    <r>
      <rPr>
        <vertAlign val="superscript"/>
        <sz val="10"/>
        <rFont val="Arial Narrow"/>
        <family val="2"/>
      </rPr>
      <t>1</t>
    </r>
    <r>
      <rPr>
        <sz val="10"/>
        <rFont val="Arial Narrow"/>
        <family val="2"/>
      </rPr>
      <t xml:space="preserve"> 42</t>
    </r>
  </si>
  <si>
    <r>
      <rPr>
        <vertAlign val="superscript"/>
        <sz val="10"/>
        <rFont val="Arial Narrow"/>
        <family val="2"/>
      </rPr>
      <t>1</t>
    </r>
    <r>
      <rPr>
        <sz val="10"/>
        <rFont val="Arial Narrow"/>
        <family val="2"/>
      </rPr>
      <t xml:space="preserve"> 39</t>
    </r>
  </si>
  <si>
    <t>The supplement also includes 35 individual program tables with State-by-State obligation data. The individual program tables display obligations for each program on a State-by-State basis, consistent with the estimates in the FY 2019 Budget.  Each program table reports the following information:</t>
  </si>
  <si>
    <t>Actual 2017 obligations for States, Federal territories, or Indian Tribes in thousands of dollars.  Undistributed obligations are generally project funds that are not distributed by formula, or programs for which State-by-State data are not available.</t>
  </si>
  <si>
    <t>Obligations in 2018 from balances of previous budget authority and obligations in 2018 from new budget authority distributed by State.</t>
  </si>
  <si>
    <t>Estimates of 2019 obligations by State, which are based on the 2019 Budget request, unless otherwise noted.</t>
  </si>
  <si>
    <t>The percentage share of 2019 estimated program funds distributed to each State.</t>
  </si>
  <si>
    <t>* $500,000 or less or 0.005 percent or less.</t>
  </si>
  <si>
    <r>
      <rPr>
        <b/>
        <vertAlign val="superscript"/>
        <sz val="10"/>
        <rFont val="Arial Narrow"/>
        <family val="2"/>
      </rPr>
      <t>1</t>
    </r>
    <r>
      <rPr>
        <b/>
        <sz val="10"/>
        <rFont val="Arial Narrow"/>
        <family val="2"/>
      </rPr>
      <t xml:space="preserve"> 3,164,054</t>
    </r>
  </si>
  <si>
    <r>
      <rPr>
        <b/>
        <vertAlign val="superscript"/>
        <sz val="10"/>
        <rFont val="Arial Narrow"/>
        <family val="2"/>
      </rPr>
      <t>2</t>
    </r>
    <r>
      <rPr>
        <b/>
        <sz val="10"/>
        <rFont val="Arial Narrow"/>
        <family val="2"/>
      </rPr>
      <t xml:space="preserve"> 3,225,038</t>
    </r>
  </si>
  <si>
    <r>
      <rPr>
        <vertAlign val="superscript"/>
        <sz val="10"/>
        <rFont val="Arial Narrow"/>
        <family val="2"/>
      </rPr>
      <t>1</t>
    </r>
    <r>
      <rPr>
        <sz val="10"/>
        <rFont val="Arial Narrow"/>
        <family val="2"/>
      </rPr>
      <t xml:space="preserve"> FY 2017 obligations reflect the sequester reduction of 6.9 percent required for mandatory programs by the Budget Control Act of 2011.</t>
    </r>
  </si>
  <si>
    <r>
      <rPr>
        <vertAlign val="superscript"/>
        <sz val="10"/>
        <rFont val="Arial Narrow"/>
        <family val="2"/>
      </rPr>
      <t>2</t>
    </r>
    <r>
      <rPr>
        <sz val="10"/>
        <rFont val="Arial Narrow"/>
        <family val="2"/>
      </rPr>
      <t xml:space="preserve"> FY 2018 obligations reflect the sequester reduction of 6.6 percent required for mandatory programs by the Budget Control Act of 2011.</t>
    </r>
  </si>
  <si>
    <r>
      <rPr>
        <vertAlign val="superscript"/>
        <sz val="10"/>
        <rFont val="Arial Narrow"/>
        <family val="2"/>
      </rPr>
      <t>3</t>
    </r>
    <r>
      <rPr>
        <sz val="10"/>
        <rFont val="Arial Narrow"/>
        <family val="2"/>
      </rPr>
      <t xml:space="preserve"> The obligation estimates reflect the State and territory reported estimates of Medicaid needs available to CMS in November 2017.</t>
    </r>
  </si>
  <si>
    <r>
      <t>46</t>
    </r>
    <r>
      <rPr>
        <sz val="10"/>
        <rFont val="Arial Narrow"/>
        <family val="2"/>
      </rPr>
      <t xml:space="preserve"> 97.042,  97.044, 97.057, 97.067</t>
    </r>
  </si>
  <si>
    <r>
      <t>52</t>
    </r>
    <r>
      <rPr>
        <sz val="10"/>
        <rFont val="Arial Narrow"/>
        <family val="2"/>
      </rPr>
      <t xml:space="preserve"> 97.042,  97.044, 97.067</t>
    </r>
  </si>
  <si>
    <r>
      <t>53</t>
    </r>
    <r>
      <rPr>
        <sz val="10"/>
        <rFont val="Arial Narrow"/>
        <family val="2"/>
      </rPr>
      <t xml:space="preserve"> 97.042,  97.056, 97.067</t>
    </r>
  </si>
  <si>
    <r>
      <t>54</t>
    </r>
    <r>
      <rPr>
        <sz val="10"/>
        <rFont val="Arial Narrow"/>
        <family val="2"/>
      </rPr>
      <t xml:space="preserve"> 97.042, 97.067</t>
    </r>
  </si>
  <si>
    <r>
      <t>36</t>
    </r>
    <r>
      <rPr>
        <sz val="10"/>
        <rFont val="Arial Narrow"/>
        <family val="2"/>
      </rPr>
      <t xml:space="preserve"> 97.008, 97.042, 97.043, 97.044, 97.056, 97.057, 97.067, 97.075</t>
    </r>
  </si>
  <si>
    <r>
      <t>12</t>
    </r>
    <r>
      <rPr>
        <sz val="10"/>
        <rFont val="Arial Narrow"/>
        <family val="2"/>
      </rPr>
      <t xml:space="preserve"> 97.0542, 97.044, 97.056, 97.067</t>
    </r>
  </si>
  <si>
    <r>
      <t>13</t>
    </r>
    <r>
      <rPr>
        <sz val="10"/>
        <rFont val="Arial Narrow"/>
        <family val="2"/>
      </rPr>
      <t xml:space="preserve"> 97.042, 97.044, 97.056, 97.067</t>
    </r>
  </si>
  <si>
    <r>
      <t>20</t>
    </r>
    <r>
      <rPr>
        <sz val="10"/>
        <rFont val="Arial Narrow"/>
        <family val="2"/>
      </rPr>
      <t xml:space="preserve"> 97.042, 97.043, 97.044, 97.056, 97.057, 97.067</t>
    </r>
  </si>
  <si>
    <r>
      <t>30</t>
    </r>
    <r>
      <rPr>
        <sz val="10"/>
        <rFont val="Arial Narrow"/>
        <family val="2"/>
      </rPr>
      <t xml:space="preserve"> 97.042, 97.043, 97.044, 97.056, 97.057, 97.067</t>
    </r>
  </si>
  <si>
    <r>
      <t>1</t>
    </r>
    <r>
      <rPr>
        <sz val="10"/>
        <rFont val="Arial Narrow"/>
        <family val="2"/>
      </rPr>
      <t xml:space="preserve"> The FY 2017 actuals for CA, CO, NV, and ND have not been certified by their respective States.  The amounts displayed for these states are the FY 2017 estimates provided in the FY 2018 President’s Budget.</t>
    </r>
  </si>
  <si>
    <r>
      <rPr>
        <b/>
        <vertAlign val="superscript"/>
        <sz val="10"/>
        <rFont val="Arial Narrow"/>
        <family val="2"/>
      </rPr>
      <t>3</t>
    </r>
    <r>
      <rPr>
        <b/>
        <sz val="10"/>
        <rFont val="Arial Narrow"/>
        <family val="2"/>
      </rPr>
      <t xml:space="preserve"> 422,044,665</t>
    </r>
  </si>
  <si>
    <r>
      <rPr>
        <b/>
        <vertAlign val="superscript"/>
        <sz val="10"/>
        <rFont val="Arial Narrow"/>
        <family val="2"/>
      </rPr>
      <t>3</t>
    </r>
    <r>
      <rPr>
        <b/>
        <sz val="10"/>
        <rFont val="Arial Narrow"/>
        <family val="2"/>
      </rPr>
      <t xml:space="preserve"> 452,153,238</t>
    </r>
  </si>
  <si>
    <r>
      <t>2</t>
    </r>
    <r>
      <rPr>
        <sz val="10"/>
        <rFont val="Arial Narrow"/>
        <family val="2"/>
      </rPr>
      <t xml:space="preserve"> 13,813</t>
    </r>
  </si>
  <si>
    <r>
      <rPr>
        <b/>
        <vertAlign val="superscript"/>
        <sz val="10"/>
        <rFont val="Arial Narrow"/>
        <family val="2"/>
      </rPr>
      <t>3</t>
    </r>
    <r>
      <rPr>
        <b/>
        <sz val="10"/>
        <rFont val="Arial Narrow"/>
        <family val="2"/>
      </rPr>
      <t xml:space="preserve"> 431,953,220</t>
    </r>
  </si>
  <si>
    <r>
      <t xml:space="preserve">1 </t>
    </r>
    <r>
      <rPr>
        <sz val="10"/>
        <rFont val="Arial Narrow"/>
        <family val="2"/>
      </rPr>
      <t>The sum of amounts not distributed by State and amounts for other non-State allocations.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</si>
</sst>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0\);......"/>
    <numFmt numFmtId="165" formatCode="#,##0.00_);\(#,##0.00\);......"/>
  </numFmts>
  <fonts count="31" x14ac:knownFonts="1">
    <font>
      <sz val="10"/>
      <color indexed="8"/>
      <name val="Arial"/>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b/>
      <sz val="10"/>
      <name val="Arial Narrow"/>
      <family val="2"/>
    </font>
    <font>
      <b/>
      <vertAlign val="superscript"/>
      <sz val="10"/>
      <name val="Arial Narrow"/>
      <family val="2"/>
    </font>
    <font>
      <sz val="16"/>
      <color indexed="8"/>
      <name val="Arial Narrow"/>
      <family val="2"/>
    </font>
    <font>
      <sz val="10"/>
      <color indexed="8"/>
      <name val="Arial Narrow"/>
      <family val="2"/>
    </font>
    <font>
      <sz val="14"/>
      <color indexed="8"/>
      <name val="Arial Narrow"/>
      <family val="2"/>
    </font>
    <font>
      <b/>
      <sz val="10"/>
      <color indexed="8"/>
      <name val="Arial Narrow"/>
      <family val="2"/>
    </font>
    <font>
      <vertAlign val="superscript"/>
      <sz val="10"/>
      <name val="Arial Narrow"/>
      <family val="2"/>
    </font>
    <font>
      <sz val="12"/>
      <color indexed="8"/>
      <name val="Arial"/>
      <family val="2"/>
    </font>
    <font>
      <sz val="12"/>
      <color rgb="FF000000"/>
      <name val="Arial"/>
      <family val="2"/>
    </font>
    <font>
      <i/>
      <sz val="12"/>
      <color indexed="8"/>
      <name val="Arial"/>
      <family val="2"/>
    </font>
    <font>
      <b/>
      <sz val="12"/>
      <color indexed="8"/>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bottom style="thin">
        <color auto="1"/>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 fillId="0" borderId="0"/>
  </cellStyleXfs>
  <cellXfs count="74">
    <xf numFmtId="0" fontId="0" fillId="0" borderId="0" xfId="0"/>
    <xf numFmtId="0" fontId="23" fillId="0" borderId="0" xfId="0" applyFont="1" applyAlignment="1">
      <alignment horizontal="center"/>
    </xf>
    <xf numFmtId="0" fontId="23" fillId="0" borderId="0" xfId="0" applyFont="1"/>
    <xf numFmtId="49" fontId="23" fillId="0" borderId="0" xfId="0" applyNumberFormat="1" applyFont="1" applyAlignment="1">
      <alignment horizontal="center" wrapText="1"/>
    </xf>
    <xf numFmtId="0" fontId="22" fillId="0" borderId="0" xfId="0" applyFont="1" applyAlignment="1">
      <alignment horizontal="centerContinuous"/>
    </xf>
    <xf numFmtId="0" fontId="23" fillId="0" borderId="0" xfId="0" applyFont="1" applyAlignment="1">
      <alignment horizontal="centerContinuous"/>
    </xf>
    <xf numFmtId="49" fontId="23" fillId="0" borderId="0" xfId="0" applyNumberFormat="1" applyFont="1" applyAlignment="1">
      <alignment horizontal="centerContinuous" wrapText="1"/>
    </xf>
    <xf numFmtId="0" fontId="24" fillId="0" borderId="0" xfId="0" applyFont="1" applyAlignment="1">
      <alignment horizontal="centerContinuous"/>
    </xf>
    <xf numFmtId="0" fontId="25" fillId="0" borderId="0" xfId="0" applyFont="1" applyAlignment="1">
      <alignment horizontal="center"/>
    </xf>
    <xf numFmtId="49" fontId="25" fillId="0" borderId="0" xfId="0" applyNumberFormat="1" applyFont="1" applyAlignment="1">
      <alignment horizontal="center" wrapText="1"/>
    </xf>
    <xf numFmtId="0" fontId="19" fillId="0" borderId="0" xfId="0" applyFont="1" applyAlignment="1">
      <alignment vertical="top" wrapText="1"/>
    </xf>
    <xf numFmtId="0" fontId="19" fillId="0" borderId="0" xfId="0" applyFont="1" applyAlignment="1">
      <alignment horizontal="left" vertical="top" wrapText="1"/>
    </xf>
    <xf numFmtId="0" fontId="20" fillId="0" borderId="0" xfId="0" applyFont="1" applyAlignment="1">
      <alignment vertical="top" wrapText="1"/>
    </xf>
    <xf numFmtId="0" fontId="20" fillId="0" borderId="0" xfId="0" applyFont="1" applyBorder="1" applyAlignment="1">
      <alignment horizontal="centerContinuous" vertical="top" wrapText="1"/>
    </xf>
    <xf numFmtId="0" fontId="19" fillId="0" borderId="0" xfId="0" applyFont="1" applyBorder="1" applyAlignment="1">
      <alignment horizontal="centerContinuous" vertical="top" wrapText="1"/>
    </xf>
    <xf numFmtId="164" fontId="19" fillId="0" borderId="13" xfId="0" applyNumberFormat="1" applyFont="1" applyBorder="1" applyAlignment="1">
      <alignment horizontal="center" vertical="center" wrapText="1"/>
    </xf>
    <xf numFmtId="0" fontId="19" fillId="0" borderId="10" xfId="0" applyFont="1" applyBorder="1" applyAlignment="1">
      <alignment horizontal="centerContinuous" vertical="center" wrapText="1"/>
    </xf>
    <xf numFmtId="164" fontId="19" fillId="0" borderId="20" xfId="0" applyNumberFormat="1" applyFont="1" applyBorder="1" applyAlignment="1">
      <alignment horizontal="right" vertical="top" wrapText="1"/>
    </xf>
    <xf numFmtId="165" fontId="19" fillId="0" borderId="15" xfId="0" applyNumberFormat="1" applyFont="1" applyBorder="1" applyAlignment="1">
      <alignment horizontal="right" vertical="top" wrapText="1"/>
    </xf>
    <xf numFmtId="0" fontId="20" fillId="0" borderId="21" xfId="0" applyFont="1" applyBorder="1" applyAlignment="1">
      <alignment horizontal="left" vertical="top" wrapText="1"/>
    </xf>
    <xf numFmtId="164" fontId="20" fillId="0" borderId="18" xfId="0" applyNumberFormat="1" applyFont="1" applyBorder="1" applyAlignment="1">
      <alignment horizontal="right" vertical="top" wrapText="1"/>
    </xf>
    <xf numFmtId="165" fontId="21" fillId="0" borderId="18" xfId="0" applyNumberFormat="1" applyFont="1" applyBorder="1" applyAlignment="1">
      <alignment horizontal="right" vertical="top" wrapText="1"/>
    </xf>
    <xf numFmtId="165" fontId="20" fillId="0" borderId="18" xfId="0" applyNumberFormat="1" applyFont="1" applyBorder="1" applyAlignment="1">
      <alignment horizontal="right" vertical="top" wrapText="1"/>
    </xf>
    <xf numFmtId="164" fontId="26" fillId="0" borderId="20" xfId="0" applyNumberFormat="1" applyFont="1" applyBorder="1" applyAlignment="1">
      <alignment horizontal="right" vertical="top" wrapText="1"/>
    </xf>
    <xf numFmtId="0" fontId="27" fillId="33" borderId="0" xfId="0" applyFont="1" applyFill="1"/>
    <xf numFmtId="0" fontId="28" fillId="33" borderId="0" xfId="0" quotePrefix="1" applyFont="1" applyFill="1" applyAlignment="1">
      <alignment horizontal="justify" vertical="center"/>
    </xf>
    <xf numFmtId="0" fontId="27" fillId="33" borderId="0" xfId="0" quotePrefix="1" applyFont="1" applyFill="1" applyAlignment="1">
      <alignment wrapText="1"/>
    </xf>
    <xf numFmtId="0" fontId="27" fillId="33" borderId="0" xfId="0" quotePrefix="1" applyFont="1" applyFill="1"/>
    <xf numFmtId="0" fontId="0" fillId="33" borderId="0" xfId="0" applyFill="1"/>
    <xf numFmtId="0" fontId="0" fillId="33" borderId="0" xfId="0" applyNumberFormat="1" applyFill="1"/>
    <xf numFmtId="164" fontId="19" fillId="0" borderId="15" xfId="0" applyNumberFormat="1" applyFont="1" applyBorder="1" applyAlignment="1">
      <alignment horizontal="right" vertical="top" wrapText="1"/>
    </xf>
    <xf numFmtId="0" fontId="19" fillId="0" borderId="0" xfId="0" applyFont="1" applyAlignment="1">
      <alignment horizontal="left" vertical="top" wrapText="1" indent="1"/>
    </xf>
    <xf numFmtId="165" fontId="19" fillId="0" borderId="13" xfId="0" applyNumberFormat="1" applyFont="1" applyBorder="1" applyAlignment="1">
      <alignment horizontal="center" vertical="center" wrapText="1"/>
    </xf>
    <xf numFmtId="164" fontId="19" fillId="0" borderId="18" xfId="0" applyNumberFormat="1" applyFont="1" applyBorder="1" applyAlignment="1">
      <alignment horizontal="right" vertical="top" wrapText="1"/>
    </xf>
    <xf numFmtId="164" fontId="19" fillId="0" borderId="21" xfId="0" applyNumberFormat="1" applyFont="1" applyBorder="1" applyAlignment="1">
      <alignment horizontal="left" vertical="top" wrapText="1" indent="1"/>
    </xf>
    <xf numFmtId="164" fontId="19" fillId="0" borderId="0" xfId="0" applyNumberFormat="1" applyFont="1" applyBorder="1" applyAlignment="1">
      <alignment horizontal="left" vertical="top" wrapText="1" indent="1"/>
    </xf>
    <xf numFmtId="3" fontId="20" fillId="0" borderId="14" xfId="0" applyNumberFormat="1" applyFont="1" applyBorder="1" applyAlignment="1">
      <alignment horizontal="right" vertical="top" wrapText="1"/>
    </xf>
    <xf numFmtId="164" fontId="20" fillId="0" borderId="0" xfId="0" applyNumberFormat="1" applyFont="1" applyBorder="1" applyAlignment="1">
      <alignment horizontal="left" vertical="top" wrapText="1"/>
    </xf>
    <xf numFmtId="165" fontId="20" fillId="0" borderId="14" xfId="0" applyNumberFormat="1" applyFont="1" applyBorder="1" applyAlignment="1">
      <alignment horizontal="right" vertical="top" wrapText="1"/>
    </xf>
    <xf numFmtId="164" fontId="20" fillId="0" borderId="0" xfId="0" applyNumberFormat="1" applyFont="1" applyBorder="1" applyAlignment="1">
      <alignment horizontal="left" vertical="top" wrapText="1" indent="1"/>
    </xf>
    <xf numFmtId="165" fontId="19" fillId="0" borderId="18" xfId="0" applyNumberFormat="1" applyFont="1" applyBorder="1" applyAlignment="1">
      <alignment horizontal="center" vertical="center" wrapText="1"/>
    </xf>
    <xf numFmtId="0" fontId="19" fillId="0" borderId="18" xfId="0" applyFont="1" applyBorder="1" applyAlignment="1">
      <alignment horizontal="centerContinuous" vertical="center" wrapText="1"/>
    </xf>
    <xf numFmtId="0" fontId="19" fillId="0" borderId="0" xfId="0" applyFont="1" applyFill="1" applyAlignment="1">
      <alignment horizontal="left" vertical="top" wrapText="1"/>
    </xf>
    <xf numFmtId="164" fontId="19" fillId="0" borderId="20" xfId="0" applyNumberFormat="1" applyFont="1" applyFill="1" applyBorder="1" applyAlignment="1">
      <alignment horizontal="right" vertical="top" wrapText="1"/>
    </xf>
    <xf numFmtId="165" fontId="19" fillId="0" borderId="15" xfId="0" applyNumberFormat="1" applyFont="1" applyFill="1" applyBorder="1" applyAlignment="1">
      <alignment horizontal="right" vertical="top" wrapText="1"/>
    </xf>
    <xf numFmtId="49" fontId="19" fillId="0" borderId="0" xfId="0" applyNumberFormat="1" applyFont="1" applyBorder="1" applyAlignment="1">
      <alignment vertical="top" wrapText="1"/>
    </xf>
    <xf numFmtId="49" fontId="19" fillId="0" borderId="0" xfId="0" applyNumberFormat="1" applyFont="1" applyBorder="1" applyAlignment="1">
      <alignment vertical="top"/>
    </xf>
    <xf numFmtId="0" fontId="0" fillId="33" borderId="0" xfId="0" applyNumberFormat="1" applyFill="1" applyAlignment="1">
      <alignment vertical="top"/>
    </xf>
    <xf numFmtId="164" fontId="19" fillId="0" borderId="0" xfId="0" applyNumberFormat="1" applyFont="1" applyFill="1" applyBorder="1" applyAlignment="1">
      <alignment horizontal="right" vertical="top" wrapText="1"/>
    </xf>
    <xf numFmtId="0" fontId="0" fillId="0" borderId="0" xfId="0" applyFill="1" applyBorder="1"/>
    <xf numFmtId="37" fontId="0" fillId="0" borderId="0" xfId="0" applyNumberFormat="1" applyFill="1" applyBorder="1"/>
    <xf numFmtId="164" fontId="0" fillId="0" borderId="0" xfId="0" applyNumberFormat="1" applyFill="1" applyBorder="1"/>
    <xf numFmtId="0" fontId="28" fillId="33" borderId="0" xfId="0" quotePrefix="1" applyFont="1" applyFill="1" applyAlignment="1">
      <alignment horizontal="left" vertical="center" wrapText="1"/>
    </xf>
    <xf numFmtId="0" fontId="27" fillId="33" borderId="0" xfId="0" quotePrefix="1" applyFont="1" applyFill="1" applyAlignment="1">
      <alignment horizontal="left" wrapText="1"/>
    </xf>
    <xf numFmtId="0" fontId="30" fillId="33" borderId="0" xfId="0" applyFont="1" applyFill="1" applyAlignment="1">
      <alignment horizontal="center"/>
    </xf>
    <xf numFmtId="165" fontId="19" fillId="0" borderId="16" xfId="0" applyNumberFormat="1" applyFont="1" applyBorder="1" applyAlignment="1">
      <alignment horizontal="center" vertical="center" wrapText="1"/>
    </xf>
    <xf numFmtId="165" fontId="19" fillId="0" borderId="17" xfId="0" applyNumberFormat="1" applyFont="1" applyBorder="1" applyAlignment="1">
      <alignment horizontal="center" vertical="center" wrapText="1"/>
    </xf>
    <xf numFmtId="164" fontId="26" fillId="0" borderId="0" xfId="0" applyNumberFormat="1" applyFont="1" applyAlignment="1">
      <alignment horizontal="left" vertical="top" wrapText="1"/>
    </xf>
    <xf numFmtId="165" fontId="19" fillId="0" borderId="14"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165" fontId="19" fillId="0" borderId="19" xfId="0" applyNumberFormat="1" applyFont="1" applyBorder="1" applyAlignment="1">
      <alignment horizontal="center" vertical="center" wrapText="1"/>
    </xf>
    <xf numFmtId="165" fontId="19" fillId="0" borderId="20" xfId="0" applyNumberFormat="1" applyFont="1" applyBorder="1" applyAlignment="1">
      <alignment horizontal="center" vertical="center" wrapText="1"/>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164" fontId="19" fillId="0" borderId="10" xfId="0" applyNumberFormat="1" applyFont="1" applyBorder="1" applyAlignment="1">
      <alignment horizontal="left" vertical="top" wrapText="1"/>
    </xf>
    <xf numFmtId="49" fontId="26" fillId="0" borderId="0" xfId="0" applyNumberFormat="1" applyFont="1" applyAlignment="1">
      <alignment vertical="top" wrapText="1"/>
    </xf>
    <xf numFmtId="164" fontId="19" fillId="0" borderId="11" xfId="0" applyNumberFormat="1"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6" xfId="0" applyNumberFormat="1" applyFont="1" applyBorder="1" applyAlignment="1">
      <alignment horizontal="center" vertical="center" wrapText="1"/>
    </xf>
    <xf numFmtId="164" fontId="19" fillId="0" borderId="17" xfId="0" applyNumberFormat="1" applyFont="1" applyBorder="1" applyAlignment="1">
      <alignment horizontal="center" vertical="center" wrapText="1"/>
    </xf>
    <xf numFmtId="164" fontId="19" fillId="0" borderId="14" xfId="0" applyNumberFormat="1" applyFont="1" applyBorder="1" applyAlignment="1">
      <alignment horizontal="center" vertical="center" wrapText="1"/>
    </xf>
    <xf numFmtId="164" fontId="19" fillId="0" borderId="19" xfId="0" applyNumberFormat="1" applyFont="1" applyBorder="1" applyAlignment="1">
      <alignment horizontal="center" vertical="center" wrapText="1"/>
    </xf>
    <xf numFmtId="49" fontId="19" fillId="0" borderId="10" xfId="0" applyNumberFormat="1" applyFont="1" applyBorder="1" applyAlignment="1">
      <alignment vertical="top" wrapText="1"/>
    </xf>
    <xf numFmtId="49" fontId="19" fillId="0" borderId="0" xfId="0" applyNumberFormat="1" applyFont="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tabSelected="1" zoomScaleNormal="100" workbookViewId="0"/>
  </sheetViews>
  <sheetFormatPr defaultRowHeight="12.75" x14ac:dyDescent="0.2"/>
  <cols>
    <col min="1" max="1" width="4.140625" customWidth="1"/>
    <col min="2" max="2" width="151.42578125" customWidth="1"/>
  </cols>
  <sheetData>
    <row r="1" spans="1:2" ht="15" x14ac:dyDescent="0.2">
      <c r="A1" s="28"/>
      <c r="B1" s="24"/>
    </row>
    <row r="2" spans="1:2" ht="17.25" customHeight="1" x14ac:dyDescent="0.25">
      <c r="A2" s="54" t="s">
        <v>460</v>
      </c>
      <c r="B2" s="54"/>
    </row>
    <row r="3" spans="1:2" ht="15" x14ac:dyDescent="0.2">
      <c r="A3" s="28"/>
      <c r="B3" s="24"/>
    </row>
    <row r="4" spans="1:2" ht="87" customHeight="1" x14ac:dyDescent="0.2">
      <c r="A4" s="52" t="s">
        <v>459</v>
      </c>
      <c r="B4" s="52"/>
    </row>
    <row r="5" spans="1:2" ht="12" customHeight="1" x14ac:dyDescent="0.2">
      <c r="A5" s="28"/>
      <c r="B5" s="25"/>
    </row>
    <row r="6" spans="1:2" ht="39.75" customHeight="1" x14ac:dyDescent="0.2">
      <c r="A6" s="53" t="s">
        <v>523</v>
      </c>
      <c r="B6" s="53"/>
    </row>
    <row r="7" spans="1:2" ht="15" x14ac:dyDescent="0.2">
      <c r="A7" s="28"/>
      <c r="B7" s="26"/>
    </row>
    <row r="8" spans="1:2" ht="15" x14ac:dyDescent="0.2">
      <c r="A8" s="29" t="s">
        <v>464</v>
      </c>
      <c r="B8" s="25" t="s">
        <v>461</v>
      </c>
    </row>
    <row r="9" spans="1:2" ht="15" x14ac:dyDescent="0.2">
      <c r="A9" s="29" t="s">
        <v>465</v>
      </c>
      <c r="B9" s="25" t="s">
        <v>462</v>
      </c>
    </row>
    <row r="10" spans="1:2" ht="15" x14ac:dyDescent="0.2">
      <c r="A10" s="29" t="s">
        <v>466</v>
      </c>
      <c r="B10" s="27" t="s">
        <v>463</v>
      </c>
    </row>
    <row r="11" spans="1:2" ht="30" x14ac:dyDescent="0.2">
      <c r="A11" s="47" t="s">
        <v>467</v>
      </c>
      <c r="B11" s="25" t="s">
        <v>524</v>
      </c>
    </row>
    <row r="12" spans="1:2" ht="15" x14ac:dyDescent="0.2">
      <c r="A12" s="29" t="s">
        <v>468</v>
      </c>
      <c r="B12" s="25" t="s">
        <v>525</v>
      </c>
    </row>
    <row r="13" spans="1:2" ht="15" x14ac:dyDescent="0.2">
      <c r="A13" s="29" t="s">
        <v>469</v>
      </c>
      <c r="B13" s="25" t="s">
        <v>526</v>
      </c>
    </row>
    <row r="14" spans="1:2" ht="15" x14ac:dyDescent="0.2">
      <c r="A14" s="29" t="s">
        <v>470</v>
      </c>
      <c r="B14" s="25" t="s">
        <v>527</v>
      </c>
    </row>
    <row r="15" spans="1:2" x14ac:dyDescent="0.2">
      <c r="A15" s="28"/>
    </row>
  </sheetData>
  <mergeCells count="3">
    <mergeCell ref="A4:B4"/>
    <mergeCell ref="A6:B6"/>
    <mergeCell ref="A2:B2"/>
  </mergeCells>
  <pageMargins left="0.7" right="0.7" top="0.75" bottom="0.75" header="0.3" footer="0.3"/>
  <pageSetup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175</v>
      </c>
      <c r="B1" s="10"/>
      <c r="C1" s="10"/>
      <c r="D1" s="10"/>
      <c r="E1" s="10"/>
      <c r="F1" s="10"/>
      <c r="G1" s="12" t="s">
        <v>176</v>
      </c>
    </row>
    <row r="2" spans="1:7" x14ac:dyDescent="0.2">
      <c r="A2" s="13" t="s">
        <v>177</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249622</v>
      </c>
      <c r="C6" s="17">
        <v>0</v>
      </c>
      <c r="D6" s="17">
        <v>247529</v>
      </c>
      <c r="E6" s="17">
        <v>247529</v>
      </c>
      <c r="F6" s="17">
        <v>245254</v>
      </c>
      <c r="G6" s="18">
        <f>IF(AND(F65&lt;&gt;5000,245254&lt;&gt;0),IF(100*245254/(F65-5000)&lt;0.005,"*",100*245254/(F65-5000)),0)</f>
        <v>1.5869113043311716</v>
      </c>
    </row>
    <row r="7" spans="1:7" x14ac:dyDescent="0.2">
      <c r="A7" s="11" t="s">
        <v>108</v>
      </c>
      <c r="B7" s="17">
        <v>42679</v>
      </c>
      <c r="C7" s="17">
        <v>0</v>
      </c>
      <c r="D7" s="17">
        <v>43037</v>
      </c>
      <c r="E7" s="17">
        <v>43037</v>
      </c>
      <c r="F7" s="17">
        <v>42855</v>
      </c>
      <c r="G7" s="18">
        <f>IF(AND(F65&lt;&gt;5000,42855&lt;&gt;0),IF(100*42855/(F65-5000)&lt;0.005,"*",100*42855/(F65-5000)),0)</f>
        <v>0.27729245576876366</v>
      </c>
    </row>
    <row r="8" spans="1:7" x14ac:dyDescent="0.2">
      <c r="A8" s="11" t="s">
        <v>109</v>
      </c>
      <c r="B8" s="17">
        <v>347779</v>
      </c>
      <c r="C8" s="17">
        <v>0</v>
      </c>
      <c r="D8" s="17">
        <v>352911</v>
      </c>
      <c r="E8" s="17">
        <v>352911</v>
      </c>
      <c r="F8" s="17">
        <v>354815</v>
      </c>
      <c r="G8" s="18">
        <f>IF(AND(F65&lt;&gt;5000,354815&lt;&gt;0),IF(100*354815/(F65-5000)&lt;0.005,"*",100*354815/(F65-5000)),0)</f>
        <v>2.2958236540332253</v>
      </c>
    </row>
    <row r="9" spans="1:7" x14ac:dyDescent="0.2">
      <c r="A9" s="11" t="s">
        <v>110</v>
      </c>
      <c r="B9" s="17">
        <v>162430</v>
      </c>
      <c r="C9" s="17">
        <v>0</v>
      </c>
      <c r="D9" s="17">
        <v>155878</v>
      </c>
      <c r="E9" s="17">
        <v>155878</v>
      </c>
      <c r="F9" s="17">
        <v>154312</v>
      </c>
      <c r="G9" s="18">
        <f>IF(AND(F65&lt;&gt;5000,154312&lt;&gt;0),IF(100*154312/(F65-5000)&lt;0.005,"*",100*154312/(F65-5000)),0)</f>
        <v>0.99847283711560975</v>
      </c>
    </row>
    <row r="10" spans="1:7" x14ac:dyDescent="0.2">
      <c r="A10" s="11" t="s">
        <v>111</v>
      </c>
      <c r="B10" s="17">
        <v>1824443</v>
      </c>
      <c r="C10" s="17">
        <v>0</v>
      </c>
      <c r="D10" s="17">
        <v>1946774</v>
      </c>
      <c r="E10" s="17">
        <v>1946774</v>
      </c>
      <c r="F10" s="17">
        <v>1958638</v>
      </c>
      <c r="G10" s="18">
        <f>IF(AND(F65&lt;&gt;5000,1958638&lt;&gt;0),IF(100*1958638/(F65-5000)&lt;0.005,"*",100*1958638/(F65-5000)),0)</f>
        <v>12.673329622728263</v>
      </c>
    </row>
    <row r="11" spans="1:7" x14ac:dyDescent="0.2">
      <c r="A11" s="11" t="s">
        <v>112</v>
      </c>
      <c r="B11" s="17">
        <v>151549</v>
      </c>
      <c r="C11" s="17">
        <v>0</v>
      </c>
      <c r="D11" s="17">
        <v>149557</v>
      </c>
      <c r="E11" s="17">
        <v>149557</v>
      </c>
      <c r="F11" s="17">
        <v>150778</v>
      </c>
      <c r="G11" s="18">
        <f>IF(AND(F65&lt;&gt;5000,150778&lt;&gt;0),IF(100*150778/(F65-5000)&lt;0.005,"*",100*150778/(F65-5000)),0)</f>
        <v>0.97560615787895566</v>
      </c>
    </row>
    <row r="12" spans="1:7" x14ac:dyDescent="0.2">
      <c r="A12" s="11" t="s">
        <v>113</v>
      </c>
      <c r="B12" s="17">
        <v>129075</v>
      </c>
      <c r="C12" s="17">
        <v>0</v>
      </c>
      <c r="D12" s="17">
        <v>122901</v>
      </c>
      <c r="E12" s="17">
        <v>122901</v>
      </c>
      <c r="F12" s="17">
        <v>121388</v>
      </c>
      <c r="G12" s="18">
        <f>IF(AND(F65&lt;&gt;5000,121388&lt;&gt;0),IF(100*121388/(F65-5000)&lt;0.005,"*",100*121388/(F65-5000)),0)</f>
        <v>0.7854387264230237</v>
      </c>
    </row>
    <row r="13" spans="1:7" x14ac:dyDescent="0.2">
      <c r="A13" s="11" t="s">
        <v>114</v>
      </c>
      <c r="B13" s="17">
        <v>50634</v>
      </c>
      <c r="C13" s="17">
        <v>0</v>
      </c>
      <c r="D13" s="17">
        <v>50036</v>
      </c>
      <c r="E13" s="17">
        <v>50036</v>
      </c>
      <c r="F13" s="17">
        <v>50166</v>
      </c>
      <c r="G13" s="18">
        <f>IF(AND(F65&lt;&gt;5000,50166&lt;&gt;0),IF(100*50166/(F65-5000)&lt;0.005,"*",100*50166/(F65-5000)),0)</f>
        <v>0.32459814108262275</v>
      </c>
    </row>
    <row r="14" spans="1:7" x14ac:dyDescent="0.2">
      <c r="A14" s="11" t="s">
        <v>115</v>
      </c>
      <c r="B14" s="17">
        <v>47177</v>
      </c>
      <c r="C14" s="17">
        <v>0</v>
      </c>
      <c r="D14" s="17">
        <v>50107</v>
      </c>
      <c r="E14" s="17">
        <v>50107</v>
      </c>
      <c r="F14" s="17">
        <v>50704</v>
      </c>
      <c r="G14" s="18">
        <f>IF(AND(F65&lt;&gt;5000,50704&lt;&gt;0),IF(100*50704/(F65-5000)&lt;0.005,"*",100*50704/(F65-5000)),0)</f>
        <v>0.32807925976664082</v>
      </c>
    </row>
    <row r="15" spans="1:7" x14ac:dyDescent="0.2">
      <c r="A15" s="11" t="s">
        <v>116</v>
      </c>
      <c r="B15" s="17">
        <v>852320</v>
      </c>
      <c r="C15" s="17">
        <v>0</v>
      </c>
      <c r="D15" s="17">
        <v>833841</v>
      </c>
      <c r="E15" s="17">
        <v>833841</v>
      </c>
      <c r="F15" s="17">
        <v>840328</v>
      </c>
      <c r="G15" s="18">
        <f>IF(AND(F65&lt;&gt;5000,840328&lt;&gt;0),IF(100*840328/(F65-5000)&lt;0.005,"*",100*840328/(F65-5000)),0)</f>
        <v>5.4373262109731328</v>
      </c>
    </row>
    <row r="16" spans="1:7" x14ac:dyDescent="0.2">
      <c r="A16" s="11" t="s">
        <v>117</v>
      </c>
      <c r="B16" s="17">
        <v>537331</v>
      </c>
      <c r="C16" s="17">
        <v>0</v>
      </c>
      <c r="D16" s="17">
        <v>521081</v>
      </c>
      <c r="E16" s="17">
        <v>521081</v>
      </c>
      <c r="F16" s="17">
        <v>521035</v>
      </c>
      <c r="G16" s="18">
        <f>IF(AND(F65&lt;&gt;5000,521035&lt;&gt;0),IF(100*521035/(F65-5000)&lt;0.005,"*",100*521035/(F65-5000)),0)</f>
        <v>3.3713469768166555</v>
      </c>
    </row>
    <row r="17" spans="1:7" x14ac:dyDescent="0.2">
      <c r="A17" s="11" t="s">
        <v>118</v>
      </c>
      <c r="B17" s="17">
        <v>53452</v>
      </c>
      <c r="C17" s="17">
        <v>0</v>
      </c>
      <c r="D17" s="17">
        <v>48717</v>
      </c>
      <c r="E17" s="17">
        <v>48717</v>
      </c>
      <c r="F17" s="17">
        <v>47956</v>
      </c>
      <c r="G17" s="18">
        <f>IF(AND(F65&lt;&gt;5000,47956&lt;&gt;0),IF(100*47956/(F65-5000)&lt;0.005,"*",100*47956/(F65-5000)),0)</f>
        <v>0.3102983784586823</v>
      </c>
    </row>
    <row r="18" spans="1:7" x14ac:dyDescent="0.2">
      <c r="A18" s="11" t="s">
        <v>119</v>
      </c>
      <c r="B18" s="17">
        <v>58319</v>
      </c>
      <c r="C18" s="17">
        <v>0</v>
      </c>
      <c r="D18" s="17">
        <v>58254</v>
      </c>
      <c r="E18" s="17">
        <v>58254</v>
      </c>
      <c r="F18" s="17">
        <v>58400</v>
      </c>
      <c r="G18" s="18">
        <f>IF(AND(F65&lt;&gt;5000,58400&lt;&gt;0),IF(100*58400/(F65-5000)&lt;0.005,"*",100*58400/(F65-5000)),0)</f>
        <v>0.3778760801982452</v>
      </c>
    </row>
    <row r="19" spans="1:7" x14ac:dyDescent="0.2">
      <c r="A19" s="11" t="s">
        <v>120</v>
      </c>
      <c r="B19" s="17">
        <v>675047</v>
      </c>
      <c r="C19" s="17">
        <v>0</v>
      </c>
      <c r="D19" s="17">
        <v>664503</v>
      </c>
      <c r="E19" s="17">
        <v>664503</v>
      </c>
      <c r="F19" s="17">
        <v>668811</v>
      </c>
      <c r="G19" s="18">
        <f>IF(AND(F65&lt;&gt;5000,668811&lt;&gt;0),IF(100*668811/(F65-5000)&lt;0.005,"*",100*668811/(F65-5000)),0)</f>
        <v>4.3275287512580229</v>
      </c>
    </row>
    <row r="20" spans="1:7" x14ac:dyDescent="0.2">
      <c r="A20" s="11" t="s">
        <v>121</v>
      </c>
      <c r="B20" s="17">
        <v>264297</v>
      </c>
      <c r="C20" s="17">
        <v>0</v>
      </c>
      <c r="D20" s="17">
        <v>262355</v>
      </c>
      <c r="E20" s="17">
        <v>262355</v>
      </c>
      <c r="F20" s="17">
        <v>263305</v>
      </c>
      <c r="G20" s="18">
        <f>IF(AND(F65&lt;&gt;5000,263305&lt;&gt;0),IF(100*263305/(F65-5000)&lt;0.005,"*",100*263305/(F65-5000)),0)</f>
        <v>1.703709953708886</v>
      </c>
    </row>
    <row r="21" spans="1:7" x14ac:dyDescent="0.2">
      <c r="A21" s="11" t="s">
        <v>122</v>
      </c>
      <c r="B21" s="17">
        <v>96944</v>
      </c>
      <c r="C21" s="17">
        <v>0</v>
      </c>
      <c r="D21" s="17">
        <v>95650</v>
      </c>
      <c r="E21" s="17">
        <v>95650</v>
      </c>
      <c r="F21" s="17">
        <v>95781</v>
      </c>
      <c r="G21" s="18">
        <f>IF(AND(F65&lt;&gt;5000,95781&lt;&gt;0),IF(100*95781/(F65-5000)&lt;0.005,"*",100*95781/(F65-5000)),0)</f>
        <v>0.61974912392924864</v>
      </c>
    </row>
    <row r="22" spans="1:7" x14ac:dyDescent="0.2">
      <c r="A22" s="11" t="s">
        <v>123</v>
      </c>
      <c r="B22" s="17">
        <v>107349</v>
      </c>
      <c r="C22" s="17">
        <v>0</v>
      </c>
      <c r="D22" s="17">
        <v>96662</v>
      </c>
      <c r="E22" s="17">
        <v>96662</v>
      </c>
      <c r="F22" s="17">
        <v>93721</v>
      </c>
      <c r="G22" s="18">
        <f>IF(AND(F65&lt;&gt;5000,93721&lt;&gt;0),IF(100*93721/(F65-5000)&lt;0.005,"*",100*93721/(F65-5000)),0)</f>
        <v>0.60641993342910505</v>
      </c>
    </row>
    <row r="23" spans="1:7" x14ac:dyDescent="0.2">
      <c r="A23" s="11" t="s">
        <v>124</v>
      </c>
      <c r="B23" s="17">
        <v>230230</v>
      </c>
      <c r="C23" s="17">
        <v>0</v>
      </c>
      <c r="D23" s="17">
        <v>235048</v>
      </c>
      <c r="E23" s="17">
        <v>235048</v>
      </c>
      <c r="F23" s="17">
        <v>236499</v>
      </c>
      <c r="G23" s="18">
        <f>IF(AND(F65&lt;&gt;5000,236499&lt;&gt;0),IF(100*236499/(F65-5000)&lt;0.005,"*",100*236499/(F65-5000)),0)</f>
        <v>1.5302622447055614</v>
      </c>
    </row>
    <row r="24" spans="1:7" x14ac:dyDescent="0.2">
      <c r="A24" s="11" t="s">
        <v>125</v>
      </c>
      <c r="B24" s="17">
        <v>314807</v>
      </c>
      <c r="C24" s="17">
        <v>0</v>
      </c>
      <c r="D24" s="17">
        <v>331496</v>
      </c>
      <c r="E24" s="17">
        <v>331496</v>
      </c>
      <c r="F24" s="17">
        <v>333633</v>
      </c>
      <c r="G24" s="18">
        <f>IF(AND(F65&lt;&gt;5000,333633&lt;&gt;0),IF(100*333633/(F65-5000)&lt;0.005,"*",100*333633/(F65-5000)),0)</f>
        <v>2.1587659291914578</v>
      </c>
    </row>
    <row r="25" spans="1:7" x14ac:dyDescent="0.2">
      <c r="A25" s="11" t="s">
        <v>126</v>
      </c>
      <c r="B25" s="17">
        <v>53749</v>
      </c>
      <c r="C25" s="17">
        <v>0</v>
      </c>
      <c r="D25" s="17">
        <v>53976</v>
      </c>
      <c r="E25" s="17">
        <v>53976</v>
      </c>
      <c r="F25" s="17">
        <v>53915</v>
      </c>
      <c r="G25" s="18">
        <f>IF(AND(F65&lt;&gt;5000,53915&lt;&gt;0),IF(100*53915/(F65-5000)&lt;0.005,"*",100*53915/(F65-5000)),0)</f>
        <v>0.348855973696719</v>
      </c>
    </row>
    <row r="26" spans="1:7" x14ac:dyDescent="0.2">
      <c r="A26" s="11" t="s">
        <v>127</v>
      </c>
      <c r="B26" s="17">
        <v>229558</v>
      </c>
      <c r="C26" s="17">
        <v>0</v>
      </c>
      <c r="D26" s="17">
        <v>233491</v>
      </c>
      <c r="E26" s="17">
        <v>233491</v>
      </c>
      <c r="F26" s="17">
        <v>236215</v>
      </c>
      <c r="G26" s="18">
        <f>IF(AND(F65&lt;&gt;5000,236215&lt;&gt;0),IF(100*236215/(F65-5000)&lt;0.005,"*",100*236215/(F65-5000)),0)</f>
        <v>1.5284246281511726</v>
      </c>
    </row>
    <row r="27" spans="1:7" x14ac:dyDescent="0.2">
      <c r="A27" s="11" t="s">
        <v>128</v>
      </c>
      <c r="B27" s="17">
        <v>243162</v>
      </c>
      <c r="C27" s="17">
        <v>0</v>
      </c>
      <c r="D27" s="17">
        <v>232726</v>
      </c>
      <c r="E27" s="17">
        <v>232726</v>
      </c>
      <c r="F27" s="17">
        <v>231354</v>
      </c>
      <c r="G27" s="18">
        <f>IF(AND(F65&lt;&gt;5000,231354&lt;&gt;0),IF(100*231354/(F65-5000)&lt;0.005,"*",100*231354/(F65-5000)),0)</f>
        <v>1.4969716208593291</v>
      </c>
    </row>
    <row r="28" spans="1:7" x14ac:dyDescent="0.2">
      <c r="A28" s="11" t="s">
        <v>129</v>
      </c>
      <c r="B28" s="17">
        <v>503276</v>
      </c>
      <c r="C28" s="17">
        <v>0</v>
      </c>
      <c r="D28" s="17">
        <v>478922</v>
      </c>
      <c r="E28" s="17">
        <v>478922</v>
      </c>
      <c r="F28" s="17">
        <v>472078</v>
      </c>
      <c r="G28" s="18">
        <f>IF(AND(F65&lt;&gt;5000,472078&lt;&gt;0),IF(100*472078/(F65-5000)&lt;0.005,"*",100*472078/(F65-5000)),0)</f>
        <v>3.0545716470518354</v>
      </c>
    </row>
    <row r="29" spans="1:7" x14ac:dyDescent="0.2">
      <c r="A29" s="11" t="s">
        <v>130</v>
      </c>
      <c r="B29" s="17">
        <v>162901</v>
      </c>
      <c r="C29" s="17">
        <v>0</v>
      </c>
      <c r="D29" s="17">
        <v>166935</v>
      </c>
      <c r="E29" s="17">
        <v>166935</v>
      </c>
      <c r="F29" s="17">
        <v>168241</v>
      </c>
      <c r="G29" s="18">
        <f>IF(AND(F65&lt;&gt;5000,168241&lt;&gt;0),IF(100*168241/(F65-5000)&lt;0.005,"*",100*168241/(F65-5000)),0)</f>
        <v>1.0886001645313865</v>
      </c>
    </row>
    <row r="30" spans="1:7" x14ac:dyDescent="0.2">
      <c r="A30" s="11" t="s">
        <v>131</v>
      </c>
      <c r="B30" s="17">
        <v>199342</v>
      </c>
      <c r="C30" s="17">
        <v>0</v>
      </c>
      <c r="D30" s="17">
        <v>205237</v>
      </c>
      <c r="E30" s="17">
        <v>205237</v>
      </c>
      <c r="F30" s="17">
        <v>204577</v>
      </c>
      <c r="G30" s="18">
        <f>IF(AND(F65&lt;&gt;5000,204577&lt;&gt;0),IF(100*204577/(F65-5000)&lt;0.005,"*",100*204577/(F65-5000)),0)</f>
        <v>1.3237115557999384</v>
      </c>
    </row>
    <row r="31" spans="1:7" x14ac:dyDescent="0.2">
      <c r="A31" s="11" t="s">
        <v>132</v>
      </c>
      <c r="B31" s="17">
        <v>250521</v>
      </c>
      <c r="C31" s="17">
        <v>0</v>
      </c>
      <c r="D31" s="17">
        <v>240155</v>
      </c>
      <c r="E31" s="17">
        <v>240155</v>
      </c>
      <c r="F31" s="17">
        <v>239147</v>
      </c>
      <c r="G31" s="18">
        <f>IF(AND(F65&lt;&gt;5000,239147&lt;&gt;0),IF(100*239147/(F65-5000)&lt;0.005,"*",100*239147/(F65-5000)),0)</f>
        <v>1.5473960779309888</v>
      </c>
    </row>
    <row r="32" spans="1:7" x14ac:dyDescent="0.2">
      <c r="A32" s="11" t="s">
        <v>133</v>
      </c>
      <c r="B32" s="17">
        <v>47679</v>
      </c>
      <c r="C32" s="17">
        <v>0</v>
      </c>
      <c r="D32" s="17">
        <v>47659</v>
      </c>
      <c r="E32" s="17">
        <v>47659</v>
      </c>
      <c r="F32" s="17">
        <v>47562</v>
      </c>
      <c r="G32" s="18">
        <f>IF(AND(F65&lt;&gt;5000,47562&lt;&gt;0),IF(100*47562/(F65-5000)&lt;0.005,"*",100*47562/(F65-5000)),0)</f>
        <v>0.30774900901350921</v>
      </c>
    </row>
    <row r="33" spans="1:7" x14ac:dyDescent="0.2">
      <c r="A33" s="11" t="s">
        <v>134</v>
      </c>
      <c r="B33" s="17">
        <v>74826</v>
      </c>
      <c r="C33" s="17">
        <v>0</v>
      </c>
      <c r="D33" s="17">
        <v>72490</v>
      </c>
      <c r="E33" s="17">
        <v>72490</v>
      </c>
      <c r="F33" s="17">
        <v>71686</v>
      </c>
      <c r="G33" s="18">
        <f>IF(AND(F65&lt;&gt;5000,71686&lt;&gt;0),IF(100*71686/(F65-5000)&lt;0.005,"*",100*71686/(F65-5000)),0)</f>
        <v>0.46384288844334598</v>
      </c>
    </row>
    <row r="34" spans="1:7" x14ac:dyDescent="0.2">
      <c r="A34" s="11" t="s">
        <v>135</v>
      </c>
      <c r="B34" s="17">
        <v>129758</v>
      </c>
      <c r="C34" s="17">
        <v>0</v>
      </c>
      <c r="D34" s="17">
        <v>126495</v>
      </c>
      <c r="E34" s="17">
        <v>126495</v>
      </c>
      <c r="F34" s="17">
        <v>127944</v>
      </c>
      <c r="G34" s="18">
        <f>IF(AND(F65&lt;&gt;5000,127944&lt;&gt;0),IF(100*127944/(F65-5000)&lt;0.005,"*",100*127944/(F65-5000)),0)</f>
        <v>0.82785919871377189</v>
      </c>
    </row>
    <row r="35" spans="1:7" x14ac:dyDescent="0.2">
      <c r="A35" s="11" t="s">
        <v>136</v>
      </c>
      <c r="B35" s="17">
        <v>43015</v>
      </c>
      <c r="C35" s="17">
        <v>0</v>
      </c>
      <c r="D35" s="17">
        <v>38883</v>
      </c>
      <c r="E35" s="17">
        <v>38883</v>
      </c>
      <c r="F35" s="17">
        <v>38463</v>
      </c>
      <c r="G35" s="18">
        <f>IF(AND(F65&lt;&gt;5000,38463&lt;&gt;0),IF(100*38463/(F65-5000)&lt;0.005,"*",100*38463/(F65-5000)),0)</f>
        <v>0.24887410398399151</v>
      </c>
    </row>
    <row r="36" spans="1:7" x14ac:dyDescent="0.2">
      <c r="A36" s="11" t="s">
        <v>137</v>
      </c>
      <c r="B36" s="17">
        <v>363036</v>
      </c>
      <c r="C36" s="17">
        <v>0</v>
      </c>
      <c r="D36" s="17">
        <v>357730</v>
      </c>
      <c r="E36" s="17">
        <v>357730</v>
      </c>
      <c r="F36" s="17">
        <v>358229</v>
      </c>
      <c r="G36" s="18">
        <f>IF(AND(F65&lt;&gt;5000,358229&lt;&gt;0),IF(100*358229/(F65-5000)&lt;0.005,"*",100*358229/(F65-5000)),0)</f>
        <v>2.3179138755708419</v>
      </c>
    </row>
    <row r="37" spans="1:7" x14ac:dyDescent="0.2">
      <c r="A37" s="11" t="s">
        <v>138</v>
      </c>
      <c r="B37" s="17">
        <v>119120</v>
      </c>
      <c r="C37" s="17">
        <v>0</v>
      </c>
      <c r="D37" s="17">
        <v>126262</v>
      </c>
      <c r="E37" s="17">
        <v>126262</v>
      </c>
      <c r="F37" s="17">
        <v>127140</v>
      </c>
      <c r="G37" s="18">
        <f>IF(AND(F65&lt;&gt;5000,127140&lt;&gt;0),IF(100*127140/(F65-5000)&lt;0.005,"*",100*127140/(F65-5000)),0)</f>
        <v>0.82265693213022073</v>
      </c>
    </row>
    <row r="38" spans="1:7" x14ac:dyDescent="0.2">
      <c r="A38" s="11" t="s">
        <v>139</v>
      </c>
      <c r="B38" s="17">
        <v>1201705</v>
      </c>
      <c r="C38" s="17">
        <v>0</v>
      </c>
      <c r="D38" s="17">
        <v>1185583</v>
      </c>
      <c r="E38" s="17">
        <v>1185583</v>
      </c>
      <c r="F38" s="17">
        <v>1191670</v>
      </c>
      <c r="G38" s="18">
        <f>IF(AND(F65&lt;&gt;5000,1191670&lt;&gt;0),IF(100*1191670/(F65-5000)&lt;0.005,"*",100*1191670/(F65-5000)),0)</f>
        <v>7.7106778851000488</v>
      </c>
    </row>
    <row r="39" spans="1:7" x14ac:dyDescent="0.2">
      <c r="A39" s="11" t="s">
        <v>140</v>
      </c>
      <c r="B39" s="17">
        <v>448755</v>
      </c>
      <c r="C39" s="17">
        <v>0</v>
      </c>
      <c r="D39" s="17">
        <v>441874</v>
      </c>
      <c r="E39" s="17">
        <v>441874</v>
      </c>
      <c r="F39" s="17">
        <v>442680</v>
      </c>
      <c r="G39" s="18">
        <f>IF(AND(F65&lt;&gt;5000,442680&lt;&gt;0),IF(100*442680/(F65-5000)&lt;0.005,"*",100*442680/(F65-5000)),0)</f>
        <v>2.8643524517493009</v>
      </c>
    </row>
    <row r="40" spans="1:7" x14ac:dyDescent="0.2">
      <c r="A40" s="11" t="s">
        <v>141</v>
      </c>
      <c r="B40" s="17">
        <v>36835</v>
      </c>
      <c r="C40" s="17">
        <v>0</v>
      </c>
      <c r="D40" s="17">
        <v>37716</v>
      </c>
      <c r="E40" s="17">
        <v>37716</v>
      </c>
      <c r="F40" s="17">
        <v>37746</v>
      </c>
      <c r="G40" s="18">
        <f>IF(AND(F65&lt;&gt;5000,37746&lt;&gt;0),IF(100*37746/(F65-5000)&lt;0.005,"*",100*37746/(F65-5000)),0)</f>
        <v>0.24423476923224252</v>
      </c>
    </row>
    <row r="41" spans="1:7" x14ac:dyDescent="0.2">
      <c r="A41" s="11" t="s">
        <v>142</v>
      </c>
      <c r="B41" s="17">
        <v>554604</v>
      </c>
      <c r="C41" s="17">
        <v>0</v>
      </c>
      <c r="D41" s="17">
        <v>543691</v>
      </c>
      <c r="E41" s="17">
        <v>543691</v>
      </c>
      <c r="F41" s="17">
        <v>543343</v>
      </c>
      <c r="G41" s="18">
        <f>IF(AND(F65&lt;&gt;5000,543343&lt;&gt;0),IF(100*543343/(F65-5000)&lt;0.005,"*",100*543343/(F65-5000)),0)</f>
        <v>3.5156904630677248</v>
      </c>
    </row>
    <row r="42" spans="1:7" x14ac:dyDescent="0.2">
      <c r="A42" s="11" t="s">
        <v>143</v>
      </c>
      <c r="B42" s="17">
        <v>168312</v>
      </c>
      <c r="C42" s="17">
        <v>0</v>
      </c>
      <c r="D42" s="17">
        <v>184731</v>
      </c>
      <c r="E42" s="17">
        <v>184731</v>
      </c>
      <c r="F42" s="17">
        <v>186075</v>
      </c>
      <c r="G42" s="18">
        <f>IF(AND(F65&lt;&gt;5000,186075&lt;&gt;0),IF(100*186075/(F65-5000)&lt;0.005,"*",100*186075/(F65-5000)),0)</f>
        <v>1.203994719570008</v>
      </c>
    </row>
    <row r="43" spans="1:7" x14ac:dyDescent="0.2">
      <c r="A43" s="11" t="s">
        <v>144</v>
      </c>
      <c r="B43" s="17">
        <v>151710</v>
      </c>
      <c r="C43" s="17">
        <v>0</v>
      </c>
      <c r="D43" s="17">
        <v>144779</v>
      </c>
      <c r="E43" s="17">
        <v>144779</v>
      </c>
      <c r="F43" s="17">
        <v>143213</v>
      </c>
      <c r="G43" s="18">
        <f>IF(AND(F65&lt;&gt;5000,143213&lt;&gt;0),IF(100*143213/(F65-5000)&lt;0.005,"*",100*143213/(F65-5000)),0)</f>
        <v>0.92665697043546724</v>
      </c>
    </row>
    <row r="44" spans="1:7" x14ac:dyDescent="0.2">
      <c r="A44" s="11" t="s">
        <v>145</v>
      </c>
      <c r="B44" s="17">
        <v>618405</v>
      </c>
      <c r="C44" s="17">
        <v>0</v>
      </c>
      <c r="D44" s="17">
        <v>630278</v>
      </c>
      <c r="E44" s="17">
        <v>630278</v>
      </c>
      <c r="F44" s="17">
        <v>633028</v>
      </c>
      <c r="G44" s="18">
        <f>IF(AND(F65&lt;&gt;5000,633028&lt;&gt;0),IF(100*633028/(F65-5000)&lt;0.005,"*",100*633028/(F65-5000)),0)</f>
        <v>4.0959955358858693</v>
      </c>
    </row>
    <row r="45" spans="1:7" x14ac:dyDescent="0.2">
      <c r="A45" s="11" t="s">
        <v>146</v>
      </c>
      <c r="B45" s="17">
        <v>52978</v>
      </c>
      <c r="C45" s="17">
        <v>0</v>
      </c>
      <c r="D45" s="17">
        <v>51703</v>
      </c>
      <c r="E45" s="17">
        <v>51703</v>
      </c>
      <c r="F45" s="17">
        <v>51095</v>
      </c>
      <c r="G45" s="18">
        <f>IF(AND(F65&lt;&gt;5000,51095&lt;&gt;0),IF(100*51095/(F65-5000)&lt;0.005,"*",100*51095/(F65-5000)),0)</f>
        <v>0.33060921776933799</v>
      </c>
    </row>
    <row r="46" spans="1:7" x14ac:dyDescent="0.2">
      <c r="A46" s="11" t="s">
        <v>147</v>
      </c>
      <c r="B46" s="17">
        <v>242153</v>
      </c>
      <c r="C46" s="17">
        <v>0</v>
      </c>
      <c r="D46" s="17">
        <v>236713</v>
      </c>
      <c r="E46" s="17">
        <v>236713</v>
      </c>
      <c r="F46" s="17">
        <v>237075</v>
      </c>
      <c r="G46" s="18">
        <f>IF(AND(F65&lt;&gt;5000,237075&lt;&gt;0),IF(100*237075/(F65-5000)&lt;0.005,"*",100*237075/(F65-5000)),0)</f>
        <v>1.5339892416609413</v>
      </c>
    </row>
    <row r="47" spans="1:7" x14ac:dyDescent="0.2">
      <c r="A47" s="11" t="s">
        <v>148</v>
      </c>
      <c r="B47" s="17">
        <v>46747</v>
      </c>
      <c r="C47" s="17">
        <v>0</v>
      </c>
      <c r="D47" s="17">
        <v>47523</v>
      </c>
      <c r="E47" s="17">
        <v>47523</v>
      </c>
      <c r="F47" s="17">
        <v>47523</v>
      </c>
      <c r="G47" s="18">
        <f>IF(AND(F65&lt;&gt;5000,47523&lt;&gt;0),IF(100*47523/(F65-5000)&lt;0.005,"*",100*47523/(F65-5000)),0)</f>
        <v>0.307496660261322</v>
      </c>
    </row>
    <row r="48" spans="1:7" x14ac:dyDescent="0.2">
      <c r="A48" s="11" t="s">
        <v>149</v>
      </c>
      <c r="B48" s="17">
        <v>305247</v>
      </c>
      <c r="C48" s="17">
        <v>0</v>
      </c>
      <c r="D48" s="17">
        <v>303832</v>
      </c>
      <c r="E48" s="17">
        <v>303832</v>
      </c>
      <c r="F48" s="17">
        <v>304805</v>
      </c>
      <c r="G48" s="18">
        <f>IF(AND(F65&lt;&gt;5000,304805&lt;&gt;0),IF(100*304805/(F65-5000)&lt;0.005,"*",100*304805/(F65-5000)),0)</f>
        <v>1.9722349079593513</v>
      </c>
    </row>
    <row r="49" spans="1:7" x14ac:dyDescent="0.2">
      <c r="A49" s="11" t="s">
        <v>150</v>
      </c>
      <c r="B49" s="17">
        <v>1415074</v>
      </c>
      <c r="C49" s="17">
        <v>0</v>
      </c>
      <c r="D49" s="17">
        <v>1475860</v>
      </c>
      <c r="E49" s="17">
        <v>1475860</v>
      </c>
      <c r="F49" s="17">
        <v>1484853</v>
      </c>
      <c r="G49" s="18">
        <f>IF(AND(F65&lt;&gt;5000,1484853&lt;&gt;0),IF(100*1484853/(F65-5000)&lt;0.005,"*",100*1484853/(F65-5000)),0)</f>
        <v>9.6077128649076187</v>
      </c>
    </row>
    <row r="50" spans="1:7" x14ac:dyDescent="0.2">
      <c r="A50" s="11" t="s">
        <v>151</v>
      </c>
      <c r="B50" s="17">
        <v>86809</v>
      </c>
      <c r="C50" s="17">
        <v>0</v>
      </c>
      <c r="D50" s="17">
        <v>79949</v>
      </c>
      <c r="E50" s="17">
        <v>79949</v>
      </c>
      <c r="F50" s="17">
        <v>79602</v>
      </c>
      <c r="G50" s="18">
        <f>IF(AND(F65&lt;&gt;5000,79602&lt;&gt;0),IF(100*79602/(F65-5000)&lt;0.005,"*",100*79602/(F65-5000)),0)</f>
        <v>0.51506321465651905</v>
      </c>
    </row>
    <row r="51" spans="1:7" x14ac:dyDescent="0.2">
      <c r="A51" s="11" t="s">
        <v>152</v>
      </c>
      <c r="B51" s="17">
        <v>35185</v>
      </c>
      <c r="C51" s="17">
        <v>0</v>
      </c>
      <c r="D51" s="17">
        <v>35906</v>
      </c>
      <c r="E51" s="17">
        <v>35906</v>
      </c>
      <c r="F51" s="17">
        <v>35932</v>
      </c>
      <c r="G51" s="18">
        <f>IF(AND(F65&lt;&gt;5000,35932&lt;&gt;0),IF(100*35932/(F65-5000)&lt;0.005,"*",100*35932/(F65-5000)),0)</f>
        <v>0.23249731701512577</v>
      </c>
    </row>
    <row r="52" spans="1:7" x14ac:dyDescent="0.2">
      <c r="A52" s="11" t="s">
        <v>153</v>
      </c>
      <c r="B52" s="17">
        <v>257972</v>
      </c>
      <c r="C52" s="17">
        <v>0</v>
      </c>
      <c r="D52" s="17">
        <v>261532</v>
      </c>
      <c r="E52" s="17">
        <v>261532</v>
      </c>
      <c r="F52" s="17">
        <v>263499</v>
      </c>
      <c r="G52" s="18">
        <f>IF(AND(F65&lt;&gt;5000,263499&lt;&gt;0),IF(100*263499/(F65-5000)&lt;0.005,"*",100*263499/(F65-5000)),0)</f>
        <v>1.7049652269889968</v>
      </c>
    </row>
    <row r="53" spans="1:7" x14ac:dyDescent="0.2">
      <c r="A53" s="11" t="s">
        <v>154</v>
      </c>
      <c r="B53" s="17">
        <v>227571</v>
      </c>
      <c r="C53" s="17">
        <v>0</v>
      </c>
      <c r="D53" s="17">
        <v>223614</v>
      </c>
      <c r="E53" s="17">
        <v>223614</v>
      </c>
      <c r="F53" s="17">
        <v>222236</v>
      </c>
      <c r="G53" s="18">
        <f>IF(AND(F65&lt;&gt;5000,222236&lt;&gt;0),IF(100*222236/(F65-5000)&lt;0.005,"*",100*222236/(F65-5000)),0)</f>
        <v>1.4379737766941305</v>
      </c>
    </row>
    <row r="54" spans="1:7" x14ac:dyDescent="0.2">
      <c r="A54" s="11" t="s">
        <v>155</v>
      </c>
      <c r="B54" s="17">
        <v>96100</v>
      </c>
      <c r="C54" s="17">
        <v>0</v>
      </c>
      <c r="D54" s="17">
        <v>94771</v>
      </c>
      <c r="E54" s="17">
        <v>94771</v>
      </c>
      <c r="F54" s="17">
        <v>95516</v>
      </c>
      <c r="G54" s="18">
        <f>IF(AND(F65&lt;&gt;5000,95516&lt;&gt;0),IF(100*95516/(F65-5000)&lt;0.005,"*",100*95516/(F65-5000)),0)</f>
        <v>0.61803444651054085</v>
      </c>
    </row>
    <row r="55" spans="1:7" x14ac:dyDescent="0.2">
      <c r="A55" s="11" t="s">
        <v>156</v>
      </c>
      <c r="B55" s="17">
        <v>208137</v>
      </c>
      <c r="C55" s="17">
        <v>0</v>
      </c>
      <c r="D55" s="17">
        <v>202753</v>
      </c>
      <c r="E55" s="17">
        <v>202753</v>
      </c>
      <c r="F55" s="17">
        <v>203290</v>
      </c>
      <c r="G55" s="18">
        <f>IF(AND(F65&lt;&gt;5000,203290&lt;&gt;0),IF(100*203290/(F65-5000)&lt;0.005,"*",100*203290/(F65-5000)),0)</f>
        <v>1.3153840469777613</v>
      </c>
    </row>
    <row r="56" spans="1:7" x14ac:dyDescent="0.2">
      <c r="A56" s="11" t="s">
        <v>157</v>
      </c>
      <c r="B56" s="17">
        <v>35432</v>
      </c>
      <c r="C56" s="17">
        <v>0</v>
      </c>
      <c r="D56" s="17">
        <v>34988</v>
      </c>
      <c r="E56" s="17">
        <v>34988</v>
      </c>
      <c r="F56" s="17">
        <v>35012</v>
      </c>
      <c r="G56" s="18">
        <f>IF(AND(F65&lt;&gt;5000,35012&lt;&gt;0),IF(100*35012/(F65-5000)&lt;0.005,"*",100*35012/(F65-5000)),0)</f>
        <v>0.22654447465583835</v>
      </c>
    </row>
    <row r="57" spans="1:7" x14ac:dyDescent="0.2">
      <c r="A57" s="11" t="s">
        <v>158</v>
      </c>
      <c r="B57" s="17">
        <v>18857</v>
      </c>
      <c r="C57" s="17">
        <v>0</v>
      </c>
      <c r="D57" s="17">
        <v>18910</v>
      </c>
      <c r="E57" s="17">
        <v>18910</v>
      </c>
      <c r="F57" s="17">
        <v>18949</v>
      </c>
      <c r="G57" s="18">
        <f>IF(AND(F65&lt;&gt;5000,18949&lt;&gt;0),IF(100*18949/(F65-5000)&lt;0.005,"*",100*18949/(F65-5000)),0)</f>
        <v>0.122609141158845</v>
      </c>
    </row>
    <row r="58" spans="1:7" x14ac:dyDescent="0.2">
      <c r="A58" s="11" t="s">
        <v>159</v>
      </c>
      <c r="B58" s="17">
        <v>20432</v>
      </c>
      <c r="C58" s="17">
        <v>0</v>
      </c>
      <c r="D58" s="17">
        <v>20489</v>
      </c>
      <c r="E58" s="17">
        <v>20489</v>
      </c>
      <c r="F58" s="17">
        <v>20531</v>
      </c>
      <c r="G58" s="18">
        <f>IF(AND(F65&lt;&gt;5000,20531&lt;&gt;0),IF(100*20531/(F65-5000)&lt;0.005,"*",100*20531/(F65-5000)),0)</f>
        <v>0.13284544182448924</v>
      </c>
    </row>
    <row r="59" spans="1:7" x14ac:dyDescent="0.2">
      <c r="A59" s="11" t="s">
        <v>160</v>
      </c>
      <c r="B59" s="17">
        <v>11398</v>
      </c>
      <c r="C59" s="17">
        <v>0</v>
      </c>
      <c r="D59" s="17">
        <v>11430</v>
      </c>
      <c r="E59" s="17">
        <v>11430</v>
      </c>
      <c r="F59" s="17">
        <v>11454</v>
      </c>
      <c r="G59" s="18">
        <f>IF(AND(F65&lt;&gt;5000,11454&lt;&gt;0),IF(100*11454/(F65-5000)&lt;0.005,"*",100*11454/(F65-5000)),0)</f>
        <v>7.4112887373128433E-2</v>
      </c>
    </row>
    <row r="60" spans="1:7" x14ac:dyDescent="0.2">
      <c r="A60" s="11" t="s">
        <v>161</v>
      </c>
      <c r="B60" s="17">
        <v>406829</v>
      </c>
      <c r="C60" s="17">
        <v>0</v>
      </c>
      <c r="D60" s="17">
        <v>388685</v>
      </c>
      <c r="E60" s="17">
        <v>388685</v>
      </c>
      <c r="F60" s="17">
        <v>381675</v>
      </c>
      <c r="G60" s="18">
        <f>IF(AND(F65&lt;&gt;5000,381675&lt;&gt;0),IF(100*381675/(F65-5000)&lt;0.005,"*",100*381675/(F65-5000)),0)</f>
        <v>2.4696207690011169</v>
      </c>
    </row>
    <row r="61" spans="1:7" x14ac:dyDescent="0.2">
      <c r="A61" s="11" t="s">
        <v>162</v>
      </c>
      <c r="B61" s="17">
        <v>1000</v>
      </c>
      <c r="C61" s="17">
        <v>0</v>
      </c>
      <c r="D61" s="17">
        <v>1000</v>
      </c>
      <c r="E61" s="17">
        <v>1000</v>
      </c>
      <c r="F61" s="17">
        <v>1000</v>
      </c>
      <c r="G61" s="18">
        <f>IF(AND(F65&lt;&gt;5000,1000&lt;&gt;0),IF(100*1000/(F65-5000)&lt;0.005,"*",100*1000/(F65-5000)),0)</f>
        <v>6.4704808253124172E-3</v>
      </c>
    </row>
    <row r="62" spans="1:7" x14ac:dyDescent="0.2">
      <c r="A62" s="11" t="s">
        <v>163</v>
      </c>
      <c r="B62" s="17">
        <v>9838</v>
      </c>
      <c r="C62" s="17">
        <v>0</v>
      </c>
      <c r="D62" s="17">
        <v>9865</v>
      </c>
      <c r="E62" s="17">
        <v>9865</v>
      </c>
      <c r="F62" s="17">
        <v>9886</v>
      </c>
      <c r="G62" s="18">
        <f>IF(AND(F65&lt;&gt;5000,9886&lt;&gt;0),IF(100*9886/(F65-5000)&lt;0.005,"*",100*9886/(F65-5000)),0)</f>
        <v>6.3967173439038558E-2</v>
      </c>
    </row>
    <row r="63" spans="1:7" x14ac:dyDescent="0.2">
      <c r="A63" s="11" t="s">
        <v>164</v>
      </c>
      <c r="B63" s="17">
        <v>107668</v>
      </c>
      <c r="C63" s="17">
        <v>0</v>
      </c>
      <c r="D63" s="17">
        <v>107964</v>
      </c>
      <c r="E63" s="17">
        <v>107964</v>
      </c>
      <c r="F63" s="17">
        <v>108184</v>
      </c>
      <c r="G63" s="18">
        <f>IF(AND(F65&lt;&gt;5000,108184&lt;&gt;0),IF(100*108184/(F65-5000)&lt;0.005,"*",100*108184/(F65-5000)),0)</f>
        <v>0.70000249760559852</v>
      </c>
    </row>
    <row r="64" spans="1:7" x14ac:dyDescent="0.2">
      <c r="A64" s="11" t="s">
        <v>165</v>
      </c>
      <c r="B64" s="17">
        <v>5000</v>
      </c>
      <c r="C64" s="17">
        <v>0</v>
      </c>
      <c r="D64" s="17">
        <v>5000</v>
      </c>
      <c r="E64" s="17">
        <v>5000</v>
      </c>
      <c r="F64" s="17">
        <v>5000</v>
      </c>
      <c r="G64" s="18">
        <v>0</v>
      </c>
    </row>
    <row r="65" spans="1:7" ht="15" customHeight="1" x14ac:dyDescent="0.2">
      <c r="A65" s="19" t="s">
        <v>106</v>
      </c>
      <c r="B65" s="20">
        <f>249622+42679+347779+162430+1824443+151549+129075+50634+47177+852320+537331+53452+58319+675047+264297+96944+107349+230230+314807+53749+229558+243162+503276+162901+199342+250521+47679+74826+129758+43015+363036+119120+1201705+448755+36835+554604+168312+151710+618405+52978+242153+46747+305247+1415074+86809+35185+257972+227571+96100+208137+35432+18857+20432+11398+406829+1000+9838+107668+5000+0</f>
        <v>15386180</v>
      </c>
      <c r="C65" s="20">
        <f>0+0+0+0+0+0+0+0+0+0+0+0+0+0+0+0+0+0+0+0+0+0+0+0+0+0+0+0+0+0+0+0+0+0+0+0+0+0+0+0+0+0+0+0+0+0+0+0+0+0+0+0+0+0+0+0+0+0+0+0</f>
        <v>0</v>
      </c>
      <c r="D65" s="20">
        <f>247529+43037+352911+155878+1946774+149557+122901+50036+50107+833841+521081+48717+58254+664503+262355+95650+96662+235048+331496+53976+233491+232726+478922+166935+205237+240155+47659+72490+126495+38883+357730+126262+1185583+441874+37716+543691+184731+144779+630278+51703+236713+47523+303832+1475860+79949+35906+261532+223614+94771+202753+34988+18910+20489+11430+388685+1000+9865+107964+5000+0</f>
        <v>15428437</v>
      </c>
      <c r="E65" s="20">
        <f>SUM(C65:D65)</f>
        <v>15428437</v>
      </c>
      <c r="F65" s="20">
        <f>245254+42855+354815+154312+1958638+150778+121388+50166+50704+840328+521035+47956+58400+668811+263305+95781+93721+236499+333633+53915+236215+231354+472078+168241+204577+239147+47562+71686+127944+38463+358229+127140+1191670+442680+37746+543343+186075+143213+633028+51095+237075+47523+304805+1484853+79602+35932+263499+222236+95516+203290+35012+18949+20531+11454+381675+1000+9886+108184+5000+0</f>
        <v>15459802</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175</v>
      </c>
      <c r="B1" s="10"/>
      <c r="C1" s="10"/>
      <c r="D1" s="10"/>
      <c r="E1" s="10"/>
      <c r="F1" s="10"/>
      <c r="G1" s="12" t="s">
        <v>178</v>
      </c>
    </row>
    <row r="2" spans="1:7" x14ac:dyDescent="0.2">
      <c r="A2" s="13" t="s">
        <v>179</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32468</v>
      </c>
      <c r="C6" s="17">
        <v>0</v>
      </c>
      <c r="D6" s="17">
        <v>32877</v>
      </c>
      <c r="E6" s="17">
        <v>32877</v>
      </c>
      <c r="F6" s="17">
        <v>0</v>
      </c>
      <c r="G6" s="18">
        <f>IF(AND(F65&lt;&gt;0,0&lt;&gt;0),IF(100*0/(F65-0)&lt;0.005,"*",100*0/(F65-0)),0)</f>
        <v>0</v>
      </c>
    </row>
    <row r="7" spans="1:7" x14ac:dyDescent="0.2">
      <c r="A7" s="11" t="s">
        <v>108</v>
      </c>
      <c r="B7" s="17">
        <v>9667</v>
      </c>
      <c r="C7" s="17">
        <v>0</v>
      </c>
      <c r="D7" s="17">
        <v>9777</v>
      </c>
      <c r="E7" s="17">
        <v>9777</v>
      </c>
      <c r="F7" s="17">
        <v>0</v>
      </c>
      <c r="G7" s="18">
        <f>IF(AND(F65&lt;&gt;0,0&lt;&gt;0),IF(100*0/(F65-0)&lt;0.005,"*",100*0/(F65-0)),0)</f>
        <v>0</v>
      </c>
    </row>
    <row r="8" spans="1:7" x14ac:dyDescent="0.2">
      <c r="A8" s="11" t="s">
        <v>109</v>
      </c>
      <c r="B8" s="17">
        <v>32265</v>
      </c>
      <c r="C8" s="17">
        <v>0</v>
      </c>
      <c r="D8" s="17">
        <v>35348</v>
      </c>
      <c r="E8" s="17">
        <v>35348</v>
      </c>
      <c r="F8" s="17">
        <v>0</v>
      </c>
      <c r="G8" s="18">
        <f>IF(AND(F65&lt;&gt;0,0&lt;&gt;0),IF(100*0/(F65-0)&lt;0.005,"*",100*0/(F65-0)),0)</f>
        <v>0</v>
      </c>
    </row>
    <row r="9" spans="1:7" x14ac:dyDescent="0.2">
      <c r="A9" s="11" t="s">
        <v>110</v>
      </c>
      <c r="B9" s="17">
        <v>19675</v>
      </c>
      <c r="C9" s="17">
        <v>0</v>
      </c>
      <c r="D9" s="17">
        <v>19954</v>
      </c>
      <c r="E9" s="17">
        <v>19954</v>
      </c>
      <c r="F9" s="17">
        <v>0</v>
      </c>
      <c r="G9" s="18">
        <f>IF(AND(F65&lt;&gt;0,0&lt;&gt;0),IF(100*0/(F65-0)&lt;0.005,"*",100*0/(F65-0)),0)</f>
        <v>0</v>
      </c>
    </row>
    <row r="10" spans="1:7" x14ac:dyDescent="0.2">
      <c r="A10" s="11" t="s">
        <v>111</v>
      </c>
      <c r="B10" s="17">
        <v>226600</v>
      </c>
      <c r="C10" s="17">
        <v>0</v>
      </c>
      <c r="D10" s="17">
        <v>230123</v>
      </c>
      <c r="E10" s="17">
        <v>230123</v>
      </c>
      <c r="F10" s="17">
        <v>0</v>
      </c>
      <c r="G10" s="18">
        <f>IF(AND(F65&lt;&gt;0,0&lt;&gt;0),IF(100*0/(F65-0)&lt;0.005,"*",100*0/(F65-0)),0)</f>
        <v>0</v>
      </c>
    </row>
    <row r="11" spans="1:7" x14ac:dyDescent="0.2">
      <c r="A11" s="11" t="s">
        <v>112</v>
      </c>
      <c r="B11" s="17">
        <v>22744</v>
      </c>
      <c r="C11" s="17">
        <v>0</v>
      </c>
      <c r="D11" s="17">
        <v>23322</v>
      </c>
      <c r="E11" s="17">
        <v>23322</v>
      </c>
      <c r="F11" s="17">
        <v>0</v>
      </c>
      <c r="G11" s="18">
        <f>IF(AND(F65&lt;&gt;0,0&lt;&gt;0),IF(100*0/(F65-0)&lt;0.005,"*",100*0/(F65-0)),0)</f>
        <v>0</v>
      </c>
    </row>
    <row r="12" spans="1:7" x14ac:dyDescent="0.2">
      <c r="A12" s="11" t="s">
        <v>113</v>
      </c>
      <c r="B12" s="17">
        <v>19129</v>
      </c>
      <c r="C12" s="17">
        <v>0</v>
      </c>
      <c r="D12" s="17">
        <v>18480</v>
      </c>
      <c r="E12" s="17">
        <v>18480</v>
      </c>
      <c r="F12" s="17">
        <v>0</v>
      </c>
      <c r="G12" s="18">
        <f>IF(AND(F65&lt;&gt;0,0&lt;&gt;0),IF(100*0/(F65-0)&lt;0.005,"*",100*0/(F65-0)),0)</f>
        <v>0</v>
      </c>
    </row>
    <row r="13" spans="1:7" x14ac:dyDescent="0.2">
      <c r="A13" s="11" t="s">
        <v>114</v>
      </c>
      <c r="B13" s="17">
        <v>9667</v>
      </c>
      <c r="C13" s="17">
        <v>0</v>
      </c>
      <c r="D13" s="17">
        <v>9777</v>
      </c>
      <c r="E13" s="17">
        <v>9777</v>
      </c>
      <c r="F13" s="17">
        <v>0</v>
      </c>
      <c r="G13" s="18">
        <f>IF(AND(F65&lt;&gt;0,0&lt;&gt;0),IF(100*0/(F65-0)&lt;0.005,"*",100*0/(F65-0)),0)</f>
        <v>0</v>
      </c>
    </row>
    <row r="14" spans="1:7" x14ac:dyDescent="0.2">
      <c r="A14" s="11" t="s">
        <v>115</v>
      </c>
      <c r="B14" s="17">
        <v>9667</v>
      </c>
      <c r="C14" s="17">
        <v>0</v>
      </c>
      <c r="D14" s="17">
        <v>9777</v>
      </c>
      <c r="E14" s="17">
        <v>9777</v>
      </c>
      <c r="F14" s="17">
        <v>0</v>
      </c>
      <c r="G14" s="18">
        <f>IF(AND(F65&lt;&gt;0,0&lt;&gt;0),IF(100*0/(F65-0)&lt;0.005,"*",100*0/(F65-0)),0)</f>
        <v>0</v>
      </c>
    </row>
    <row r="15" spans="1:7" x14ac:dyDescent="0.2">
      <c r="A15" s="11" t="s">
        <v>116</v>
      </c>
      <c r="B15" s="17">
        <v>92743</v>
      </c>
      <c r="C15" s="17">
        <v>0</v>
      </c>
      <c r="D15" s="17">
        <v>96606</v>
      </c>
      <c r="E15" s="17">
        <v>96606</v>
      </c>
      <c r="F15" s="17">
        <v>0</v>
      </c>
      <c r="G15" s="18">
        <f>IF(AND(F65&lt;&gt;0,0&lt;&gt;0),IF(100*0/(F65-0)&lt;0.005,"*",100*0/(F65-0)),0)</f>
        <v>0</v>
      </c>
    </row>
    <row r="16" spans="1:7" x14ac:dyDescent="0.2">
      <c r="A16" s="11" t="s">
        <v>117</v>
      </c>
      <c r="B16" s="17">
        <v>54221</v>
      </c>
      <c r="C16" s="17">
        <v>0</v>
      </c>
      <c r="D16" s="17">
        <v>57633</v>
      </c>
      <c r="E16" s="17">
        <v>57633</v>
      </c>
      <c r="F16" s="17">
        <v>0</v>
      </c>
      <c r="G16" s="18">
        <f>IF(AND(F65&lt;&gt;0,0&lt;&gt;0),IF(100*0/(F65-0)&lt;0.005,"*",100*0/(F65-0)),0)</f>
        <v>0</v>
      </c>
    </row>
    <row r="17" spans="1:7" x14ac:dyDescent="0.2">
      <c r="A17" s="11" t="s">
        <v>118</v>
      </c>
      <c r="B17" s="17">
        <v>9667</v>
      </c>
      <c r="C17" s="17">
        <v>0</v>
      </c>
      <c r="D17" s="17">
        <v>9777</v>
      </c>
      <c r="E17" s="17">
        <v>9777</v>
      </c>
      <c r="F17" s="17">
        <v>0</v>
      </c>
      <c r="G17" s="18">
        <f>IF(AND(F65&lt;&gt;0,0&lt;&gt;0),IF(100*0/(F65-0)&lt;0.005,"*",100*0/(F65-0)),0)</f>
        <v>0</v>
      </c>
    </row>
    <row r="18" spans="1:7" x14ac:dyDescent="0.2">
      <c r="A18" s="11" t="s">
        <v>119</v>
      </c>
      <c r="B18" s="17">
        <v>9667</v>
      </c>
      <c r="C18" s="17">
        <v>0</v>
      </c>
      <c r="D18" s="17">
        <v>9777</v>
      </c>
      <c r="E18" s="17">
        <v>9777</v>
      </c>
      <c r="F18" s="17">
        <v>0</v>
      </c>
      <c r="G18" s="18">
        <f>IF(AND(F65&lt;&gt;0,0&lt;&gt;0),IF(100*0/(F65-0)&lt;0.005,"*",100*0/(F65-0)),0)</f>
        <v>0</v>
      </c>
    </row>
    <row r="19" spans="1:7" x14ac:dyDescent="0.2">
      <c r="A19" s="11" t="s">
        <v>120</v>
      </c>
      <c r="B19" s="17">
        <v>82916</v>
      </c>
      <c r="C19" s="17">
        <v>0</v>
      </c>
      <c r="D19" s="17">
        <v>81316</v>
      </c>
      <c r="E19" s="17">
        <v>81316</v>
      </c>
      <c r="F19" s="17">
        <v>0</v>
      </c>
      <c r="G19" s="18">
        <f>IF(AND(F65&lt;&gt;0,0&lt;&gt;0),IF(100*0/(F65-0)&lt;0.005,"*",100*0/(F65-0)),0)</f>
        <v>0</v>
      </c>
    </row>
    <row r="20" spans="1:7" x14ac:dyDescent="0.2">
      <c r="A20" s="11" t="s">
        <v>121</v>
      </c>
      <c r="B20" s="17">
        <v>34802</v>
      </c>
      <c r="C20" s="17">
        <v>0</v>
      </c>
      <c r="D20" s="17">
        <v>35843</v>
      </c>
      <c r="E20" s="17">
        <v>35843</v>
      </c>
      <c r="F20" s="17">
        <v>0</v>
      </c>
      <c r="G20" s="18">
        <f>IF(AND(F65&lt;&gt;0,0&lt;&gt;0),IF(100*0/(F65-0)&lt;0.005,"*",100*0/(F65-0)),0)</f>
        <v>0</v>
      </c>
    </row>
    <row r="21" spans="1:7" x14ac:dyDescent="0.2">
      <c r="A21" s="11" t="s">
        <v>122</v>
      </c>
      <c r="B21" s="17">
        <v>15885</v>
      </c>
      <c r="C21" s="17">
        <v>0</v>
      </c>
      <c r="D21" s="17">
        <v>15771</v>
      </c>
      <c r="E21" s="17">
        <v>15771</v>
      </c>
      <c r="F21" s="17">
        <v>0</v>
      </c>
      <c r="G21" s="18">
        <f>IF(AND(F65&lt;&gt;0,0&lt;&gt;0),IF(100*0/(F65-0)&lt;0.005,"*",100*0/(F65-0)),0)</f>
        <v>0</v>
      </c>
    </row>
    <row r="22" spans="1:7" x14ac:dyDescent="0.2">
      <c r="A22" s="11" t="s">
        <v>123</v>
      </c>
      <c r="B22" s="17">
        <v>16230</v>
      </c>
      <c r="C22" s="17">
        <v>0</v>
      </c>
      <c r="D22" s="17">
        <v>15977</v>
      </c>
      <c r="E22" s="17">
        <v>15977</v>
      </c>
      <c r="F22" s="17">
        <v>0</v>
      </c>
      <c r="G22" s="18">
        <f>IF(AND(F65&lt;&gt;0,0&lt;&gt;0),IF(100*0/(F65-0)&lt;0.005,"*",100*0/(F65-0)),0)</f>
        <v>0</v>
      </c>
    </row>
    <row r="23" spans="1:7" x14ac:dyDescent="0.2">
      <c r="A23" s="11" t="s">
        <v>124</v>
      </c>
      <c r="B23" s="17">
        <v>31915</v>
      </c>
      <c r="C23" s="17">
        <v>0</v>
      </c>
      <c r="D23" s="17">
        <v>31861</v>
      </c>
      <c r="E23" s="17">
        <v>31861</v>
      </c>
      <c r="F23" s="17">
        <v>0</v>
      </c>
      <c r="G23" s="18">
        <f>IF(AND(F65&lt;&gt;0,0&lt;&gt;0),IF(100*0/(F65-0)&lt;0.005,"*",100*0/(F65-0)),0)</f>
        <v>0</v>
      </c>
    </row>
    <row r="24" spans="1:7" x14ac:dyDescent="0.2">
      <c r="A24" s="11" t="s">
        <v>125</v>
      </c>
      <c r="B24" s="17">
        <v>46089</v>
      </c>
      <c r="C24" s="17">
        <v>0</v>
      </c>
      <c r="D24" s="17">
        <v>45124</v>
      </c>
      <c r="E24" s="17">
        <v>45124</v>
      </c>
      <c r="F24" s="17">
        <v>0</v>
      </c>
      <c r="G24" s="18">
        <f>IF(AND(F65&lt;&gt;0,0&lt;&gt;0),IF(100*0/(F65-0)&lt;0.005,"*",100*0/(F65-0)),0)</f>
        <v>0</v>
      </c>
    </row>
    <row r="25" spans="1:7" x14ac:dyDescent="0.2">
      <c r="A25" s="11" t="s">
        <v>126</v>
      </c>
      <c r="B25" s="17">
        <v>9667</v>
      </c>
      <c r="C25" s="17">
        <v>0</v>
      </c>
      <c r="D25" s="17">
        <v>9777</v>
      </c>
      <c r="E25" s="17">
        <v>9777</v>
      </c>
      <c r="F25" s="17">
        <v>0</v>
      </c>
      <c r="G25" s="18">
        <f>IF(AND(F65&lt;&gt;0,0&lt;&gt;0),IF(100*0/(F65-0)&lt;0.005,"*",100*0/(F65-0)),0)</f>
        <v>0</v>
      </c>
    </row>
    <row r="26" spans="1:7" x14ac:dyDescent="0.2">
      <c r="A26" s="11" t="s">
        <v>127</v>
      </c>
      <c r="B26" s="17">
        <v>29572</v>
      </c>
      <c r="C26" s="17">
        <v>0</v>
      </c>
      <c r="D26" s="17">
        <v>29163</v>
      </c>
      <c r="E26" s="17">
        <v>29163</v>
      </c>
      <c r="F26" s="17">
        <v>0</v>
      </c>
      <c r="G26" s="18">
        <f>IF(AND(F65&lt;&gt;0,0&lt;&gt;0),IF(100*0/(F65-0)&lt;0.005,"*",100*0/(F65-0)),0)</f>
        <v>0</v>
      </c>
    </row>
    <row r="27" spans="1:7" x14ac:dyDescent="0.2">
      <c r="A27" s="11" t="s">
        <v>128</v>
      </c>
      <c r="B27" s="17">
        <v>37029</v>
      </c>
      <c r="C27" s="17">
        <v>0</v>
      </c>
      <c r="D27" s="17">
        <v>35481</v>
      </c>
      <c r="E27" s="17">
        <v>35481</v>
      </c>
      <c r="F27" s="17">
        <v>0</v>
      </c>
      <c r="G27" s="18">
        <f>IF(AND(F65&lt;&gt;0,0&lt;&gt;0),IF(100*0/(F65-0)&lt;0.005,"*",100*0/(F65-0)),0)</f>
        <v>0</v>
      </c>
    </row>
    <row r="28" spans="1:7" x14ac:dyDescent="0.2">
      <c r="A28" s="11" t="s">
        <v>129</v>
      </c>
      <c r="B28" s="17">
        <v>80402</v>
      </c>
      <c r="C28" s="17">
        <v>0</v>
      </c>
      <c r="D28" s="17">
        <v>76767</v>
      </c>
      <c r="E28" s="17">
        <v>76767</v>
      </c>
      <c r="F28" s="17">
        <v>0</v>
      </c>
      <c r="G28" s="18">
        <f>IF(AND(F65&lt;&gt;0,0&lt;&gt;0),IF(100*0/(F65-0)&lt;0.005,"*",100*0/(F65-0)),0)</f>
        <v>0</v>
      </c>
    </row>
    <row r="29" spans="1:7" x14ac:dyDescent="0.2">
      <c r="A29" s="11" t="s">
        <v>130</v>
      </c>
      <c r="B29" s="17">
        <v>27707</v>
      </c>
      <c r="C29" s="17">
        <v>0</v>
      </c>
      <c r="D29" s="17">
        <v>27272</v>
      </c>
      <c r="E29" s="17">
        <v>27272</v>
      </c>
      <c r="F29" s="17">
        <v>0</v>
      </c>
      <c r="G29" s="18">
        <f>IF(AND(F65&lt;&gt;0,0&lt;&gt;0),IF(100*0/(F65-0)&lt;0.005,"*",100*0/(F65-0)),0)</f>
        <v>0</v>
      </c>
    </row>
    <row r="30" spans="1:7" x14ac:dyDescent="0.2">
      <c r="A30" s="11" t="s">
        <v>131</v>
      </c>
      <c r="B30" s="17">
        <v>30142</v>
      </c>
      <c r="C30" s="17">
        <v>0</v>
      </c>
      <c r="D30" s="17">
        <v>29731</v>
      </c>
      <c r="E30" s="17">
        <v>29731</v>
      </c>
      <c r="F30" s="17">
        <v>0</v>
      </c>
      <c r="G30" s="18">
        <f>IF(AND(F65&lt;&gt;0,0&lt;&gt;0),IF(100*0/(F65-0)&lt;0.005,"*",100*0/(F65-0)),0)</f>
        <v>0</v>
      </c>
    </row>
    <row r="31" spans="1:7" x14ac:dyDescent="0.2">
      <c r="A31" s="11" t="s">
        <v>132</v>
      </c>
      <c r="B31" s="17">
        <v>35123</v>
      </c>
      <c r="C31" s="17">
        <v>0</v>
      </c>
      <c r="D31" s="17">
        <v>35083</v>
      </c>
      <c r="E31" s="17">
        <v>35083</v>
      </c>
      <c r="F31" s="17">
        <v>0</v>
      </c>
      <c r="G31" s="18">
        <f>IF(AND(F65&lt;&gt;0,0&lt;&gt;0),IF(100*0/(F65-0)&lt;0.005,"*",100*0/(F65-0)),0)</f>
        <v>0</v>
      </c>
    </row>
    <row r="32" spans="1:7" x14ac:dyDescent="0.2">
      <c r="A32" s="11" t="s">
        <v>133</v>
      </c>
      <c r="B32" s="17">
        <v>9667</v>
      </c>
      <c r="C32" s="17">
        <v>0</v>
      </c>
      <c r="D32" s="17">
        <v>9777</v>
      </c>
      <c r="E32" s="17">
        <v>9777</v>
      </c>
      <c r="F32" s="17">
        <v>0</v>
      </c>
      <c r="G32" s="18">
        <f>IF(AND(F65&lt;&gt;0,0&lt;&gt;0),IF(100*0/(F65-0)&lt;0.005,"*",100*0/(F65-0)),0)</f>
        <v>0</v>
      </c>
    </row>
    <row r="33" spans="1:7" x14ac:dyDescent="0.2">
      <c r="A33" s="11" t="s">
        <v>134</v>
      </c>
      <c r="B33" s="17">
        <v>9904</v>
      </c>
      <c r="C33" s="17">
        <v>0</v>
      </c>
      <c r="D33" s="17">
        <v>9975</v>
      </c>
      <c r="E33" s="17">
        <v>9975</v>
      </c>
      <c r="F33" s="17">
        <v>0</v>
      </c>
      <c r="G33" s="18">
        <f>IF(AND(F65&lt;&gt;0,0&lt;&gt;0),IF(100*0/(F65-0)&lt;0.005,"*",100*0/(F65-0)),0)</f>
        <v>0</v>
      </c>
    </row>
    <row r="34" spans="1:7" x14ac:dyDescent="0.2">
      <c r="A34" s="11" t="s">
        <v>135</v>
      </c>
      <c r="B34" s="17">
        <v>10496</v>
      </c>
      <c r="C34" s="17">
        <v>0</v>
      </c>
      <c r="D34" s="17">
        <v>11706</v>
      </c>
      <c r="E34" s="17">
        <v>11706</v>
      </c>
      <c r="F34" s="17">
        <v>0</v>
      </c>
      <c r="G34" s="18">
        <f>IF(AND(F65&lt;&gt;0,0&lt;&gt;0),IF(100*0/(F65-0)&lt;0.005,"*",100*0/(F65-0)),0)</f>
        <v>0</v>
      </c>
    </row>
    <row r="35" spans="1:7" x14ac:dyDescent="0.2">
      <c r="A35" s="11" t="s">
        <v>136</v>
      </c>
      <c r="B35" s="17">
        <v>9667</v>
      </c>
      <c r="C35" s="17">
        <v>0</v>
      </c>
      <c r="D35" s="17">
        <v>9777</v>
      </c>
      <c r="E35" s="17">
        <v>9777</v>
      </c>
      <c r="F35" s="17">
        <v>0</v>
      </c>
      <c r="G35" s="18">
        <f>IF(AND(F65&lt;&gt;0,0&lt;&gt;0),IF(100*0/(F65-0)&lt;0.005,"*",100*0/(F65-0)),0)</f>
        <v>0</v>
      </c>
    </row>
    <row r="36" spans="1:7" x14ac:dyDescent="0.2">
      <c r="A36" s="11" t="s">
        <v>137</v>
      </c>
      <c r="B36" s="17">
        <v>46558</v>
      </c>
      <c r="C36" s="17">
        <v>0</v>
      </c>
      <c r="D36" s="17">
        <v>46008</v>
      </c>
      <c r="E36" s="17">
        <v>46008</v>
      </c>
      <c r="F36" s="17">
        <v>0</v>
      </c>
      <c r="G36" s="18">
        <f>IF(AND(F65&lt;&gt;0,0&lt;&gt;0),IF(100*0/(F65-0)&lt;0.005,"*",100*0/(F65-0)),0)</f>
        <v>0</v>
      </c>
    </row>
    <row r="37" spans="1:7" x14ac:dyDescent="0.2">
      <c r="A37" s="11" t="s">
        <v>138</v>
      </c>
      <c r="B37" s="17">
        <v>16048</v>
      </c>
      <c r="C37" s="17">
        <v>0</v>
      </c>
      <c r="D37" s="17">
        <v>16318</v>
      </c>
      <c r="E37" s="17">
        <v>16318</v>
      </c>
      <c r="F37" s="17">
        <v>0</v>
      </c>
      <c r="G37" s="18">
        <f>IF(AND(F65&lt;&gt;0,0&lt;&gt;0),IF(100*0/(F65-0)&lt;0.005,"*",100*0/(F65-0)),0)</f>
        <v>0</v>
      </c>
    </row>
    <row r="38" spans="1:7" x14ac:dyDescent="0.2">
      <c r="A38" s="11" t="s">
        <v>139</v>
      </c>
      <c r="B38" s="17">
        <v>165756</v>
      </c>
      <c r="C38" s="17">
        <v>0</v>
      </c>
      <c r="D38" s="17">
        <v>157302</v>
      </c>
      <c r="E38" s="17">
        <v>157302</v>
      </c>
      <c r="F38" s="17">
        <v>0</v>
      </c>
      <c r="G38" s="18">
        <f>IF(AND(F65&lt;&gt;0,0&lt;&gt;0),IF(100*0/(F65-0)&lt;0.005,"*",100*0/(F65-0)),0)</f>
        <v>0</v>
      </c>
    </row>
    <row r="39" spans="1:7" x14ac:dyDescent="0.2">
      <c r="A39" s="11" t="s">
        <v>140</v>
      </c>
      <c r="B39" s="17">
        <v>45151</v>
      </c>
      <c r="C39" s="17">
        <v>0</v>
      </c>
      <c r="D39" s="17">
        <v>48564</v>
      </c>
      <c r="E39" s="17">
        <v>48564</v>
      </c>
      <c r="F39" s="17">
        <v>0</v>
      </c>
      <c r="G39" s="18">
        <f>IF(AND(F65&lt;&gt;0,0&lt;&gt;0),IF(100*0/(F65-0)&lt;0.005,"*",100*0/(F65-0)),0)</f>
        <v>0</v>
      </c>
    </row>
    <row r="40" spans="1:7" x14ac:dyDescent="0.2">
      <c r="A40" s="11" t="s">
        <v>141</v>
      </c>
      <c r="B40" s="17">
        <v>9667</v>
      </c>
      <c r="C40" s="17">
        <v>0</v>
      </c>
      <c r="D40" s="17">
        <v>9777</v>
      </c>
      <c r="E40" s="17">
        <v>9777</v>
      </c>
      <c r="F40" s="17">
        <v>0</v>
      </c>
      <c r="G40" s="18">
        <f>IF(AND(F65&lt;&gt;0,0&lt;&gt;0),IF(100*0/(F65-0)&lt;0.005,"*",100*0/(F65-0)),0)</f>
        <v>0</v>
      </c>
    </row>
    <row r="41" spans="1:7" x14ac:dyDescent="0.2">
      <c r="A41" s="11" t="s">
        <v>142</v>
      </c>
      <c r="B41" s="17">
        <v>76021</v>
      </c>
      <c r="C41" s="17">
        <v>0</v>
      </c>
      <c r="D41" s="17">
        <v>75076</v>
      </c>
      <c r="E41" s="17">
        <v>75076</v>
      </c>
      <c r="F41" s="17">
        <v>0</v>
      </c>
      <c r="G41" s="18">
        <f>IF(AND(F65&lt;&gt;0,0&lt;&gt;0),IF(100*0/(F65-0)&lt;0.005,"*",100*0/(F65-0)),0)</f>
        <v>0</v>
      </c>
    </row>
    <row r="42" spans="1:7" x14ac:dyDescent="0.2">
      <c r="A42" s="11" t="s">
        <v>143</v>
      </c>
      <c r="B42" s="17">
        <v>23478</v>
      </c>
      <c r="C42" s="17">
        <v>0</v>
      </c>
      <c r="D42" s="17">
        <v>24368</v>
      </c>
      <c r="E42" s="17">
        <v>24368</v>
      </c>
      <c r="F42" s="17">
        <v>0</v>
      </c>
      <c r="G42" s="18">
        <f>IF(AND(F65&lt;&gt;0,0&lt;&gt;0),IF(100*0/(F65-0)&lt;0.005,"*",100*0/(F65-0)),0)</f>
        <v>0</v>
      </c>
    </row>
    <row r="43" spans="1:7" x14ac:dyDescent="0.2">
      <c r="A43" s="11" t="s">
        <v>144</v>
      </c>
      <c r="B43" s="17">
        <v>19745</v>
      </c>
      <c r="C43" s="17">
        <v>0</v>
      </c>
      <c r="D43" s="17">
        <v>19786</v>
      </c>
      <c r="E43" s="17">
        <v>19786</v>
      </c>
      <c r="F43" s="17">
        <v>0</v>
      </c>
      <c r="G43" s="18">
        <f>IF(AND(F65&lt;&gt;0,0&lt;&gt;0),IF(100*0/(F65-0)&lt;0.005,"*",100*0/(F65-0)),0)</f>
        <v>0</v>
      </c>
    </row>
    <row r="44" spans="1:7" x14ac:dyDescent="0.2">
      <c r="A44" s="11" t="s">
        <v>145</v>
      </c>
      <c r="B44" s="17">
        <v>82832</v>
      </c>
      <c r="C44" s="17">
        <v>0</v>
      </c>
      <c r="D44" s="17">
        <v>80383</v>
      </c>
      <c r="E44" s="17">
        <v>80383</v>
      </c>
      <c r="F44" s="17">
        <v>0</v>
      </c>
      <c r="G44" s="18">
        <f>IF(AND(F65&lt;&gt;0,0&lt;&gt;0),IF(100*0/(F65-0)&lt;0.005,"*",100*0/(F65-0)),0)</f>
        <v>0</v>
      </c>
    </row>
    <row r="45" spans="1:7" x14ac:dyDescent="0.2">
      <c r="A45" s="11" t="s">
        <v>146</v>
      </c>
      <c r="B45" s="17">
        <v>9667</v>
      </c>
      <c r="C45" s="17">
        <v>0</v>
      </c>
      <c r="D45" s="17">
        <v>9777</v>
      </c>
      <c r="E45" s="17">
        <v>9777</v>
      </c>
      <c r="F45" s="17">
        <v>0</v>
      </c>
      <c r="G45" s="18">
        <f>IF(AND(F65&lt;&gt;0,0&lt;&gt;0),IF(100*0/(F65-0)&lt;0.005,"*",100*0/(F65-0)),0)</f>
        <v>0</v>
      </c>
    </row>
    <row r="46" spans="1:7" x14ac:dyDescent="0.2">
      <c r="A46" s="11" t="s">
        <v>147</v>
      </c>
      <c r="B46" s="17">
        <v>25719</v>
      </c>
      <c r="C46" s="17">
        <v>0</v>
      </c>
      <c r="D46" s="17">
        <v>26950</v>
      </c>
      <c r="E46" s="17">
        <v>26950</v>
      </c>
      <c r="F46" s="17">
        <v>0</v>
      </c>
      <c r="G46" s="18">
        <f>IF(AND(F65&lt;&gt;0,0&lt;&gt;0),IF(100*0/(F65-0)&lt;0.005,"*",100*0/(F65-0)),0)</f>
        <v>0</v>
      </c>
    </row>
    <row r="47" spans="1:7" x14ac:dyDescent="0.2">
      <c r="A47" s="11" t="s">
        <v>148</v>
      </c>
      <c r="B47" s="17">
        <v>9667</v>
      </c>
      <c r="C47" s="17">
        <v>0</v>
      </c>
      <c r="D47" s="17">
        <v>9777</v>
      </c>
      <c r="E47" s="17">
        <v>9777</v>
      </c>
      <c r="F47" s="17">
        <v>0</v>
      </c>
      <c r="G47" s="18">
        <f>IF(AND(F65&lt;&gt;0,0&lt;&gt;0),IF(100*0/(F65-0)&lt;0.005,"*",100*0/(F65-0)),0)</f>
        <v>0</v>
      </c>
    </row>
    <row r="48" spans="1:7" x14ac:dyDescent="0.2">
      <c r="A48" s="11" t="s">
        <v>149</v>
      </c>
      <c r="B48" s="17">
        <v>34882</v>
      </c>
      <c r="C48" s="17">
        <v>0</v>
      </c>
      <c r="D48" s="17">
        <v>36415</v>
      </c>
      <c r="E48" s="17">
        <v>36415</v>
      </c>
      <c r="F48" s="17">
        <v>0</v>
      </c>
      <c r="G48" s="18">
        <f>IF(AND(F65&lt;&gt;0,0&lt;&gt;0),IF(100*0/(F65-0)&lt;0.005,"*",100*0/(F65-0)),0)</f>
        <v>0</v>
      </c>
    </row>
    <row r="49" spans="1:7" x14ac:dyDescent="0.2">
      <c r="A49" s="11" t="s">
        <v>150</v>
      </c>
      <c r="B49" s="17">
        <v>168036</v>
      </c>
      <c r="C49" s="17">
        <v>0</v>
      </c>
      <c r="D49" s="17">
        <v>176444</v>
      </c>
      <c r="E49" s="17">
        <v>176444</v>
      </c>
      <c r="F49" s="17">
        <v>0</v>
      </c>
      <c r="G49" s="18">
        <f>IF(AND(F65&lt;&gt;0,0&lt;&gt;0),IF(100*0/(F65-0)&lt;0.005,"*",100*0/(F65-0)),0)</f>
        <v>0</v>
      </c>
    </row>
    <row r="50" spans="1:7" x14ac:dyDescent="0.2">
      <c r="A50" s="11" t="s">
        <v>151</v>
      </c>
      <c r="B50" s="17">
        <v>13417</v>
      </c>
      <c r="C50" s="17">
        <v>0</v>
      </c>
      <c r="D50" s="17">
        <v>13822</v>
      </c>
      <c r="E50" s="17">
        <v>13822</v>
      </c>
      <c r="F50" s="17">
        <v>0</v>
      </c>
      <c r="G50" s="18">
        <f>IF(AND(F65&lt;&gt;0,0&lt;&gt;0),IF(100*0/(F65-0)&lt;0.005,"*",100*0/(F65-0)),0)</f>
        <v>0</v>
      </c>
    </row>
    <row r="51" spans="1:7" x14ac:dyDescent="0.2">
      <c r="A51" s="11" t="s">
        <v>152</v>
      </c>
      <c r="B51" s="17">
        <v>9667</v>
      </c>
      <c r="C51" s="17">
        <v>0</v>
      </c>
      <c r="D51" s="17">
        <v>9777</v>
      </c>
      <c r="E51" s="17">
        <v>9777</v>
      </c>
      <c r="F51" s="17">
        <v>0</v>
      </c>
      <c r="G51" s="18">
        <f>IF(AND(F65&lt;&gt;0,0&lt;&gt;0),IF(100*0/(F65-0)&lt;0.005,"*",100*0/(F65-0)),0)</f>
        <v>0</v>
      </c>
    </row>
    <row r="52" spans="1:7" x14ac:dyDescent="0.2">
      <c r="A52" s="11" t="s">
        <v>153</v>
      </c>
      <c r="B52" s="17">
        <v>36504</v>
      </c>
      <c r="C52" s="17">
        <v>0</v>
      </c>
      <c r="D52" s="17">
        <v>37151</v>
      </c>
      <c r="E52" s="17">
        <v>37151</v>
      </c>
      <c r="F52" s="17">
        <v>0</v>
      </c>
      <c r="G52" s="18">
        <f>IF(AND(F65&lt;&gt;0,0&lt;&gt;0),IF(100*0/(F65-0)&lt;0.005,"*",100*0/(F65-0)),0)</f>
        <v>0</v>
      </c>
    </row>
    <row r="53" spans="1:7" x14ac:dyDescent="0.2">
      <c r="A53" s="11" t="s">
        <v>154</v>
      </c>
      <c r="B53" s="17">
        <v>33328</v>
      </c>
      <c r="C53" s="17">
        <v>0</v>
      </c>
      <c r="D53" s="17">
        <v>33209</v>
      </c>
      <c r="E53" s="17">
        <v>33209</v>
      </c>
      <c r="F53" s="17">
        <v>0</v>
      </c>
      <c r="G53" s="18">
        <f>IF(AND(F65&lt;&gt;0,0&lt;&gt;0),IF(100*0/(F65-0)&lt;0.005,"*",100*0/(F65-0)),0)</f>
        <v>0</v>
      </c>
    </row>
    <row r="54" spans="1:7" x14ac:dyDescent="0.2">
      <c r="A54" s="11" t="s">
        <v>155</v>
      </c>
      <c r="B54" s="17">
        <v>17282</v>
      </c>
      <c r="C54" s="17">
        <v>0</v>
      </c>
      <c r="D54" s="17">
        <v>16318</v>
      </c>
      <c r="E54" s="17">
        <v>16318</v>
      </c>
      <c r="F54" s="17">
        <v>0</v>
      </c>
      <c r="G54" s="18">
        <f>IF(AND(F65&lt;&gt;0,0&lt;&gt;0),IF(100*0/(F65-0)&lt;0.005,"*",100*0/(F65-0)),0)</f>
        <v>0</v>
      </c>
    </row>
    <row r="55" spans="1:7" x14ac:dyDescent="0.2">
      <c r="A55" s="11" t="s">
        <v>156</v>
      </c>
      <c r="B55" s="17">
        <v>33345</v>
      </c>
      <c r="C55" s="17">
        <v>0</v>
      </c>
      <c r="D55" s="17">
        <v>32604</v>
      </c>
      <c r="E55" s="17">
        <v>32604</v>
      </c>
      <c r="F55" s="17">
        <v>0</v>
      </c>
      <c r="G55" s="18">
        <f>IF(AND(F65&lt;&gt;0,0&lt;&gt;0),IF(100*0/(F65-0)&lt;0.005,"*",100*0/(F65-0)),0)</f>
        <v>0</v>
      </c>
    </row>
    <row r="56" spans="1:7" x14ac:dyDescent="0.2">
      <c r="A56" s="11" t="s">
        <v>157</v>
      </c>
      <c r="B56" s="17">
        <v>9667</v>
      </c>
      <c r="C56" s="17">
        <v>0</v>
      </c>
      <c r="D56" s="17">
        <v>9777</v>
      </c>
      <c r="E56" s="17">
        <v>9777</v>
      </c>
      <c r="F56" s="17">
        <v>0</v>
      </c>
      <c r="G56" s="18">
        <f>IF(AND(F65&lt;&gt;0,0&lt;&gt;0),IF(100*0/(F65-0)&lt;0.005,"*",100*0/(F65-0)),0)</f>
        <v>0</v>
      </c>
    </row>
    <row r="57" spans="1:7" x14ac:dyDescent="0.2">
      <c r="A57" s="11" t="s">
        <v>158</v>
      </c>
      <c r="B57" s="17">
        <v>2332</v>
      </c>
      <c r="C57" s="17">
        <v>0</v>
      </c>
      <c r="D57" s="17">
        <v>2453</v>
      </c>
      <c r="E57" s="17">
        <v>2453</v>
      </c>
      <c r="F57" s="17">
        <v>0</v>
      </c>
      <c r="G57" s="18">
        <f>IF(AND(F65&lt;&gt;0,0&lt;&gt;0),IF(100*0/(F65-0)&lt;0.005,"*",100*0/(F65-0)),0)</f>
        <v>0</v>
      </c>
    </row>
    <row r="58" spans="1:7" x14ac:dyDescent="0.2">
      <c r="A58" s="11" t="s">
        <v>159</v>
      </c>
      <c r="B58" s="17">
        <v>3910</v>
      </c>
      <c r="C58" s="17">
        <v>0</v>
      </c>
      <c r="D58" s="17">
        <v>3873</v>
      </c>
      <c r="E58" s="17">
        <v>3873</v>
      </c>
      <c r="F58" s="17">
        <v>0</v>
      </c>
      <c r="G58" s="18">
        <f>IF(AND(F65&lt;&gt;0,0&lt;&gt;0),IF(100*0/(F65-0)&lt;0.005,"*",100*0/(F65-0)),0)</f>
        <v>0</v>
      </c>
    </row>
    <row r="59" spans="1:7" x14ac:dyDescent="0.2">
      <c r="A59" s="11" t="s">
        <v>160</v>
      </c>
      <c r="B59" s="17">
        <v>1435</v>
      </c>
      <c r="C59" s="17">
        <v>0</v>
      </c>
      <c r="D59" s="17">
        <v>1511</v>
      </c>
      <c r="E59" s="17">
        <v>1511</v>
      </c>
      <c r="F59" s="17">
        <v>0</v>
      </c>
      <c r="G59" s="18">
        <f>IF(AND(F65&lt;&gt;0,0&lt;&gt;0),IF(100*0/(F65-0)&lt;0.005,"*",100*0/(F65-0)),0)</f>
        <v>0</v>
      </c>
    </row>
    <row r="60" spans="1:7" x14ac:dyDescent="0.2">
      <c r="A60" s="11" t="s">
        <v>161</v>
      </c>
      <c r="B60" s="17">
        <v>62017</v>
      </c>
      <c r="C60" s="17">
        <v>0</v>
      </c>
      <c r="D60" s="17">
        <v>59359</v>
      </c>
      <c r="E60" s="17">
        <v>59359</v>
      </c>
      <c r="F60" s="17">
        <v>0</v>
      </c>
      <c r="G60" s="18">
        <f>IF(AND(F65&lt;&gt;0,0&lt;&gt;0),IF(100*0/(F65-0)&lt;0.005,"*",100*0/(F65-0)),0)</f>
        <v>0</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2494</v>
      </c>
      <c r="C62" s="17">
        <v>0</v>
      </c>
      <c r="D62" s="17">
        <v>2378</v>
      </c>
      <c r="E62" s="17">
        <v>2378</v>
      </c>
      <c r="F62" s="17">
        <v>0</v>
      </c>
      <c r="G62" s="18">
        <f>IF(AND(F65&lt;&gt;0,0&lt;&gt;0),IF(100*0/(F65-0)&lt;0.005,"*",100*0/(F65-0)),0)</f>
        <v>0</v>
      </c>
    </row>
    <row r="63" spans="1:7" x14ac:dyDescent="0.2">
      <c r="A63" s="11" t="s">
        <v>164</v>
      </c>
      <c r="B63" s="17">
        <v>10171</v>
      </c>
      <c r="C63" s="17">
        <v>0</v>
      </c>
      <c r="D63" s="17">
        <v>10215</v>
      </c>
      <c r="E63" s="17">
        <v>10215</v>
      </c>
      <c r="F63" s="17">
        <v>0</v>
      </c>
      <c r="G63" s="18">
        <f>IF(AND(F65&lt;&gt;0,0&lt;&gt;0),IF(100*0/(F65-0)&lt;0.005,"*",100*0/(F65-0)),0)</f>
        <v>0</v>
      </c>
    </row>
    <row r="64" spans="1:7" x14ac:dyDescent="0.2">
      <c r="A64" s="11" t="s">
        <v>165</v>
      </c>
      <c r="B64" s="17">
        <v>10222</v>
      </c>
      <c r="C64" s="17">
        <v>0</v>
      </c>
      <c r="D64" s="17">
        <v>10266</v>
      </c>
      <c r="E64" s="17">
        <v>10266</v>
      </c>
      <c r="F64" s="17">
        <v>0</v>
      </c>
      <c r="G64" s="18">
        <v>0</v>
      </c>
    </row>
    <row r="65" spans="1:7" ht="15" customHeight="1" x14ac:dyDescent="0.2">
      <c r="A65" s="19" t="s">
        <v>106</v>
      </c>
      <c r="B65" s="20">
        <f>32468+9667+32265+19675+226600+22744+19129+9667+9667+92743+54221+9667+9667+82916+34802+15885+16230+31915+46089+9667+29572+37029+80402+27707+30142+35123+9667+9904+10496+9667+46558+16048+165756+45151+9667+76021+23478+19745+82832+9667+25719+9667+34882+168036+13417+9667+36504+33328+17282+33345+9667+2332+3910+1435+62017+0+2494+10171+10222+0</f>
        <v>2044411</v>
      </c>
      <c r="C65" s="20">
        <f>0+0+0+0+0+0+0+0+0+0+0+0+0+0+0+0+0+0+0+0+0+0+0+0+0+0+0+0+0+0+0+0+0+0+0+0+0+0+0+0+0+0+0+0+0+0+0+0+0+0+0+0+0+0+0+0+0+0+0+0</f>
        <v>0</v>
      </c>
      <c r="D65" s="20">
        <f>32877+9777+35348+19954+230123+23322+18480+9777+9777+96606+57633+9777+9777+81316+35843+15771+15977+31861+45124+9777+29163+35481+76767+27272+29731+35083+9777+9975+11706+9777+46008+16318+157302+48564+9777+75076+24368+19786+80383+9777+26950+9777+36415+176444+13822+9777+37151+33209+16318+32604+9777+2453+3873+1511+59359+0+2378+10215+10266+0</f>
        <v>2053287</v>
      </c>
      <c r="E65" s="20">
        <f>SUM(C65:D65)</f>
        <v>2053287</v>
      </c>
      <c r="F65" s="20">
        <f>0+0+0+0+0+0+0+0+0+0+0+0+0+0+0+0+0+0+0+0+0+0+0+0+0+0+0+0+0+0+0+0+0+0+0+0+0+0+0+0+0+0+0+0+0+0+0+0+0+0+0+0+0+0+0+0+0+0+0+0</f>
        <v>0</v>
      </c>
      <c r="G65" s="22" t="s">
        <v>180</v>
      </c>
    </row>
  </sheetData>
  <mergeCells count="4">
    <mergeCell ref="A4:A5"/>
    <mergeCell ref="B4:B5"/>
    <mergeCell ref="F4:F5"/>
    <mergeCell ref="G4:G5"/>
  </mergeCells>
  <pageMargins left="0.7" right="0.7" top="0.75" bottom="0.75" header="0.3" footer="0.3"/>
  <pageSetup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181</v>
      </c>
      <c r="B1" s="10"/>
      <c r="C1" s="10"/>
      <c r="D1" s="10"/>
      <c r="E1" s="10"/>
      <c r="F1" s="10"/>
      <c r="G1" s="12" t="s">
        <v>182</v>
      </c>
    </row>
    <row r="2" spans="1:7" x14ac:dyDescent="0.2">
      <c r="A2" s="13" t="s">
        <v>183</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185993</v>
      </c>
      <c r="C6" s="17">
        <v>0</v>
      </c>
      <c r="D6" s="17">
        <v>186367</v>
      </c>
      <c r="E6" s="17">
        <v>186367</v>
      </c>
      <c r="F6" s="17">
        <v>186626</v>
      </c>
      <c r="G6" s="18">
        <f>IF(AND(F66&lt;&gt;0,186626&lt;&gt;0),IF(100*186626/(F66-0)&lt;0.005,"*",100*186626/(F66-0)),0)</f>
        <v>1.5548477790310915</v>
      </c>
    </row>
    <row r="7" spans="1:7" x14ac:dyDescent="0.2">
      <c r="A7" s="11" t="s">
        <v>108</v>
      </c>
      <c r="B7" s="17">
        <v>37713</v>
      </c>
      <c r="C7" s="17">
        <v>0</v>
      </c>
      <c r="D7" s="17">
        <v>37826</v>
      </c>
      <c r="E7" s="17">
        <v>37826</v>
      </c>
      <c r="F7" s="17">
        <v>37888</v>
      </c>
      <c r="G7" s="18">
        <f>IF(AND(F66&lt;&gt;0,37888&lt;&gt;0),IF(100*37888/(F66-0)&lt;0.005,"*",100*37888/(F66-0)),0)</f>
        <v>0.31565844336764437</v>
      </c>
    </row>
    <row r="8" spans="1:7" x14ac:dyDescent="0.2">
      <c r="A8" s="11" t="s">
        <v>109</v>
      </c>
      <c r="B8" s="17">
        <v>199884</v>
      </c>
      <c r="C8" s="17">
        <v>0</v>
      </c>
      <c r="D8" s="17">
        <v>201820</v>
      </c>
      <c r="E8" s="17">
        <v>201820</v>
      </c>
      <c r="F8" s="17">
        <v>203172</v>
      </c>
      <c r="G8" s="18">
        <f>IF(AND(F66&lt;&gt;0,203172&lt;&gt;0),IF(100*203172/(F66-0)&lt;0.005,"*",100*203172/(F66-0)),0)</f>
        <v>1.6926984073028675</v>
      </c>
    </row>
    <row r="9" spans="1:7" x14ac:dyDescent="0.2">
      <c r="A9" s="11" t="s">
        <v>110</v>
      </c>
      <c r="B9" s="17">
        <v>114564</v>
      </c>
      <c r="C9" s="17">
        <v>0</v>
      </c>
      <c r="D9" s="17">
        <v>114790</v>
      </c>
      <c r="E9" s="17">
        <v>114790</v>
      </c>
      <c r="F9" s="17">
        <v>114949</v>
      </c>
      <c r="G9" s="18">
        <f>IF(AND(F66&lt;&gt;0,114949&lt;&gt;0),IF(100*114949/(F66-0)&lt;0.005,"*",100*114949/(F66-0)),0)</f>
        <v>0.95768112348678613</v>
      </c>
    </row>
    <row r="10" spans="1:7" x14ac:dyDescent="0.2">
      <c r="A10" s="11" t="s">
        <v>111</v>
      </c>
      <c r="B10" s="17">
        <v>1238605</v>
      </c>
      <c r="C10" s="17">
        <v>0</v>
      </c>
      <c r="D10" s="17">
        <v>1253978</v>
      </c>
      <c r="E10" s="17">
        <v>1253978</v>
      </c>
      <c r="F10" s="17">
        <v>1255717</v>
      </c>
      <c r="G10" s="18">
        <f>IF(AND(F66&lt;&gt;0,1255717&lt;&gt;0),IF(100*1255717/(F66-0)&lt;0.005,"*",100*1255717/(F66-0)),0)</f>
        <v>10.46182626505195</v>
      </c>
    </row>
    <row r="11" spans="1:7" x14ac:dyDescent="0.2">
      <c r="A11" s="11" t="s">
        <v>112</v>
      </c>
      <c r="B11" s="17">
        <v>163101</v>
      </c>
      <c r="C11" s="17">
        <v>0</v>
      </c>
      <c r="D11" s="17">
        <v>163386</v>
      </c>
      <c r="E11" s="17">
        <v>163386</v>
      </c>
      <c r="F11" s="17">
        <v>163612</v>
      </c>
      <c r="G11" s="18">
        <f>IF(AND(F66&lt;&gt;0,163612&lt;&gt;0),IF(100*163612/(F66-0)&lt;0.005,"*",100*163612/(F66-0)),0)</f>
        <v>1.3631099355011358</v>
      </c>
    </row>
    <row r="12" spans="1:7" x14ac:dyDescent="0.2">
      <c r="A12" s="11" t="s">
        <v>113</v>
      </c>
      <c r="B12" s="17">
        <v>136225</v>
      </c>
      <c r="C12" s="17">
        <v>0</v>
      </c>
      <c r="D12" s="17">
        <v>136516</v>
      </c>
      <c r="E12" s="17">
        <v>136516</v>
      </c>
      <c r="F12" s="17">
        <v>136705</v>
      </c>
      <c r="G12" s="18">
        <f>IF(AND(F66&lt;&gt;0,136705&lt;&gt;0),IF(100*136705/(F66-0)&lt;0.005,"*",100*136705/(F66-0)),0)</f>
        <v>1.1389381202643005</v>
      </c>
    </row>
    <row r="13" spans="1:7" x14ac:dyDescent="0.2">
      <c r="A13" s="11" t="s">
        <v>114</v>
      </c>
      <c r="B13" s="17">
        <v>36696</v>
      </c>
      <c r="C13" s="17">
        <v>0</v>
      </c>
      <c r="D13" s="17">
        <v>36804</v>
      </c>
      <c r="E13" s="17">
        <v>36804</v>
      </c>
      <c r="F13" s="17">
        <v>36865</v>
      </c>
      <c r="G13" s="18">
        <f>IF(AND(F66&lt;&gt;0,36865&lt;&gt;0),IF(100*36865/(F66-0)&lt;0.005,"*",100*36865/(F66-0)),0)</f>
        <v>0.30713546544415671</v>
      </c>
    </row>
    <row r="14" spans="1:7" x14ac:dyDescent="0.2">
      <c r="A14" s="11" t="s">
        <v>115</v>
      </c>
      <c r="B14" s="17">
        <v>18879</v>
      </c>
      <c r="C14" s="17">
        <v>0</v>
      </c>
      <c r="D14" s="17">
        <v>19202</v>
      </c>
      <c r="E14" s="17">
        <v>19202</v>
      </c>
      <c r="F14" s="17">
        <v>19519</v>
      </c>
      <c r="G14" s="18">
        <f>IF(AND(F66&lt;&gt;0,19519&lt;&gt;0),IF(100*19519/(F66-0)&lt;0.005,"*",100*19519/(F66-0)),0)</f>
        <v>0.16261975179721944</v>
      </c>
    </row>
    <row r="15" spans="1:7" x14ac:dyDescent="0.2">
      <c r="A15" s="11" t="s">
        <v>116</v>
      </c>
      <c r="B15" s="17">
        <v>658654</v>
      </c>
      <c r="C15" s="17">
        <v>0</v>
      </c>
      <c r="D15" s="17">
        <v>659904</v>
      </c>
      <c r="E15" s="17">
        <v>659904</v>
      </c>
      <c r="F15" s="17">
        <v>660819</v>
      </c>
      <c r="G15" s="18">
        <f>IF(AND(F66&lt;&gt;0,660819&lt;&gt;0),IF(100*660819/(F66-0)&lt;0.005,"*",100*660819/(F66-0)),0)</f>
        <v>5.5055188156609844</v>
      </c>
    </row>
    <row r="16" spans="1:7" x14ac:dyDescent="0.2">
      <c r="A16" s="11" t="s">
        <v>117</v>
      </c>
      <c r="B16" s="17">
        <v>347098</v>
      </c>
      <c r="C16" s="17">
        <v>0</v>
      </c>
      <c r="D16" s="17">
        <v>347673</v>
      </c>
      <c r="E16" s="17">
        <v>347673</v>
      </c>
      <c r="F16" s="17">
        <v>348155</v>
      </c>
      <c r="G16" s="18">
        <f>IF(AND(F66&lt;&gt;0,348155&lt;&gt;0),IF(100*348155/(F66-0)&lt;0.005,"*",100*348155/(F66-0)),0)</f>
        <v>2.9006034984866509</v>
      </c>
    </row>
    <row r="17" spans="1:7" x14ac:dyDescent="0.2">
      <c r="A17" s="11" t="s">
        <v>118</v>
      </c>
      <c r="B17" s="17">
        <v>40739</v>
      </c>
      <c r="C17" s="17">
        <v>0</v>
      </c>
      <c r="D17" s="17">
        <v>40817</v>
      </c>
      <c r="E17" s="17">
        <v>40817</v>
      </c>
      <c r="F17" s="17">
        <v>40874</v>
      </c>
      <c r="G17" s="18">
        <f>IF(AND(F66&lt;&gt;0,40874&lt;&gt;0),IF(100*40874/(F66-0)&lt;0.005,"*",100*40874/(F66-0)),0)</f>
        <v>0.34053587453043432</v>
      </c>
    </row>
    <row r="18" spans="1:7" x14ac:dyDescent="0.2">
      <c r="A18" s="11" t="s">
        <v>119</v>
      </c>
      <c r="B18" s="17">
        <v>57538</v>
      </c>
      <c r="C18" s="17">
        <v>0</v>
      </c>
      <c r="D18" s="17">
        <v>57641</v>
      </c>
      <c r="E18" s="17">
        <v>57641</v>
      </c>
      <c r="F18" s="17">
        <v>57721</v>
      </c>
      <c r="G18" s="18">
        <f>IF(AND(F66&lt;&gt;0,57721&lt;&gt;0),IF(100*57721/(F66-0)&lt;0.005,"*",100*57721/(F66-0)),0)</f>
        <v>0.48089424117461466</v>
      </c>
    </row>
    <row r="19" spans="1:7" x14ac:dyDescent="0.2">
      <c r="A19" s="11" t="s">
        <v>120</v>
      </c>
      <c r="B19" s="17">
        <v>515417</v>
      </c>
      <c r="C19" s="17">
        <v>0</v>
      </c>
      <c r="D19" s="17">
        <v>519232</v>
      </c>
      <c r="E19" s="17">
        <v>519232</v>
      </c>
      <c r="F19" s="17">
        <v>519952</v>
      </c>
      <c r="G19" s="18">
        <f>IF(AND(F66&lt;&gt;0,519952&lt;&gt;0),IF(100*519952/(F66-0)&lt;0.005,"*",100*519952/(F66-0)),0)</f>
        <v>4.3319055887324067</v>
      </c>
    </row>
    <row r="20" spans="1:7" x14ac:dyDescent="0.2">
      <c r="A20" s="11" t="s">
        <v>121</v>
      </c>
      <c r="B20" s="17">
        <v>264933</v>
      </c>
      <c r="C20" s="17">
        <v>0</v>
      </c>
      <c r="D20" s="17">
        <v>265451</v>
      </c>
      <c r="E20" s="17">
        <v>265451</v>
      </c>
      <c r="F20" s="17">
        <v>265820</v>
      </c>
      <c r="G20" s="18">
        <f>IF(AND(F66&lt;&gt;0,265820&lt;&gt;0),IF(100*265820/(F66-0)&lt;0.005,"*",100*265820/(F66-0)),0)</f>
        <v>2.2146412430317572</v>
      </c>
    </row>
    <row r="21" spans="1:7" x14ac:dyDescent="0.2">
      <c r="A21" s="11" t="s">
        <v>122</v>
      </c>
      <c r="B21" s="17">
        <v>125121</v>
      </c>
      <c r="C21" s="17">
        <v>0</v>
      </c>
      <c r="D21" s="17">
        <v>125383</v>
      </c>
      <c r="E21" s="17">
        <v>125383</v>
      </c>
      <c r="F21" s="17">
        <v>125557</v>
      </c>
      <c r="G21" s="18">
        <f>IF(AND(F66&lt;&gt;0,125557&lt;&gt;0),IF(100*125557/(F66-0)&lt;0.005,"*",100*125557/(F66-0)),0)</f>
        <v>1.0460601555614264</v>
      </c>
    </row>
    <row r="22" spans="1:7" x14ac:dyDescent="0.2">
      <c r="A22" s="11" t="s">
        <v>123</v>
      </c>
      <c r="B22" s="17">
        <v>109290</v>
      </c>
      <c r="C22" s="17">
        <v>0</v>
      </c>
      <c r="D22" s="17">
        <v>109502</v>
      </c>
      <c r="E22" s="17">
        <v>109502</v>
      </c>
      <c r="F22" s="17">
        <v>109654</v>
      </c>
      <c r="G22" s="18">
        <f>IF(AND(F66&lt;&gt;0,109654&lt;&gt;0),IF(100*109654/(F66-0)&lt;0.005,"*",100*109654/(F66-0)),0)</f>
        <v>0.91356658965993653</v>
      </c>
    </row>
    <row r="23" spans="1:7" x14ac:dyDescent="0.2">
      <c r="A23" s="11" t="s">
        <v>124</v>
      </c>
      <c r="B23" s="17">
        <v>161822</v>
      </c>
      <c r="C23" s="17">
        <v>0</v>
      </c>
      <c r="D23" s="17">
        <v>162140</v>
      </c>
      <c r="E23" s="17">
        <v>162140</v>
      </c>
      <c r="F23" s="17">
        <v>162365</v>
      </c>
      <c r="G23" s="18">
        <f>IF(AND(F66&lt;&gt;0,162365&lt;&gt;0),IF(100*162365/(F66-0)&lt;0.005,"*",100*162365/(F66-0)),0)</f>
        <v>1.3527207336726028</v>
      </c>
    </row>
    <row r="24" spans="1:7" x14ac:dyDescent="0.2">
      <c r="A24" s="11" t="s">
        <v>125</v>
      </c>
      <c r="B24" s="17">
        <v>193041</v>
      </c>
      <c r="C24" s="17">
        <v>0</v>
      </c>
      <c r="D24" s="17">
        <v>193425</v>
      </c>
      <c r="E24" s="17">
        <v>193425</v>
      </c>
      <c r="F24" s="17">
        <v>193693</v>
      </c>
      <c r="G24" s="18">
        <f>IF(AND(F66&lt;&gt;0,193693&lt;&gt;0),IF(100*193693/(F66-0)&lt;0.005,"*",100*193693/(F66-0)),0)</f>
        <v>1.6137254769639235</v>
      </c>
    </row>
    <row r="25" spans="1:7" x14ac:dyDescent="0.2">
      <c r="A25" s="11" t="s">
        <v>126</v>
      </c>
      <c r="B25" s="17">
        <v>56061</v>
      </c>
      <c r="C25" s="17">
        <v>0</v>
      </c>
      <c r="D25" s="17">
        <v>56198</v>
      </c>
      <c r="E25" s="17">
        <v>56198</v>
      </c>
      <c r="F25" s="17">
        <v>56276</v>
      </c>
      <c r="G25" s="18">
        <f>IF(AND(F66&lt;&gt;0,56276&lt;&gt;0),IF(100*56276/(F66-0)&lt;0.005,"*",100*56276/(F66-0)),0)</f>
        <v>0.46885543071572938</v>
      </c>
    </row>
    <row r="26" spans="1:7" x14ac:dyDescent="0.2">
      <c r="A26" s="11" t="s">
        <v>127</v>
      </c>
      <c r="B26" s="17">
        <v>204910</v>
      </c>
      <c r="C26" s="17">
        <v>0</v>
      </c>
      <c r="D26" s="17">
        <v>205320</v>
      </c>
      <c r="E26" s="17">
        <v>205320</v>
      </c>
      <c r="F26" s="17">
        <v>205604</v>
      </c>
      <c r="G26" s="18">
        <f>IF(AND(F66&lt;&gt;0,205604&lt;&gt;0),IF(100*205604/(F66-0)&lt;0.005,"*",100*205604/(F66-0)),0)</f>
        <v>1.7129602668433581</v>
      </c>
    </row>
    <row r="27" spans="1:7" x14ac:dyDescent="0.2">
      <c r="A27" s="11" t="s">
        <v>128</v>
      </c>
      <c r="B27" s="17">
        <v>290890</v>
      </c>
      <c r="C27" s="17">
        <v>0</v>
      </c>
      <c r="D27" s="17">
        <v>291540</v>
      </c>
      <c r="E27" s="17">
        <v>291540</v>
      </c>
      <c r="F27" s="17">
        <v>291945</v>
      </c>
      <c r="G27" s="18">
        <f>IF(AND(F66&lt;&gt;0,291945&lt;&gt;0),IF(100*291945/(F66-0)&lt;0.005,"*",100*291945/(F66-0)),0)</f>
        <v>2.432297937314372</v>
      </c>
    </row>
    <row r="28" spans="1:7" x14ac:dyDescent="0.2">
      <c r="A28" s="11" t="s">
        <v>129</v>
      </c>
      <c r="B28" s="17">
        <v>408891</v>
      </c>
      <c r="C28" s="17">
        <v>0</v>
      </c>
      <c r="D28" s="17">
        <v>409735</v>
      </c>
      <c r="E28" s="17">
        <v>409735</v>
      </c>
      <c r="F28" s="17">
        <v>410304</v>
      </c>
      <c r="G28" s="18">
        <f>IF(AND(F66&lt;&gt;0,410304&lt;&gt;0),IF(100*410304/(F66-0)&lt;0.005,"*",100*410304/(F66-0)),0)</f>
        <v>3.4183889872127837</v>
      </c>
    </row>
    <row r="29" spans="1:7" x14ac:dyDescent="0.2">
      <c r="A29" s="11" t="s">
        <v>130</v>
      </c>
      <c r="B29" s="17">
        <v>194282</v>
      </c>
      <c r="C29" s="17">
        <v>0</v>
      </c>
      <c r="D29" s="17">
        <v>194672</v>
      </c>
      <c r="E29" s="17">
        <v>194672</v>
      </c>
      <c r="F29" s="17">
        <v>194942</v>
      </c>
      <c r="G29" s="18">
        <f>IF(AND(F66&lt;&gt;0,194942&lt;&gt;0),IF(100*194942/(F66-0)&lt;0.005,"*",100*194942/(F66-0)),0)</f>
        <v>1.6241313415058944</v>
      </c>
    </row>
    <row r="30" spans="1:7" x14ac:dyDescent="0.2">
      <c r="A30" s="11" t="s">
        <v>131</v>
      </c>
      <c r="B30" s="17">
        <v>122648</v>
      </c>
      <c r="C30" s="17">
        <v>0</v>
      </c>
      <c r="D30" s="17">
        <v>122891</v>
      </c>
      <c r="E30" s="17">
        <v>122891</v>
      </c>
      <c r="F30" s="17">
        <v>123061</v>
      </c>
      <c r="G30" s="18">
        <f>IF(AND(F66&lt;&gt;0,123061&lt;&gt;0),IF(100*123061/(F66-0)&lt;0.005,"*",100*123061/(F66-0)),0)</f>
        <v>1.0252650891909227</v>
      </c>
    </row>
    <row r="31" spans="1:7" x14ac:dyDescent="0.2">
      <c r="A31" s="11" t="s">
        <v>132</v>
      </c>
      <c r="B31" s="17">
        <v>232782</v>
      </c>
      <c r="C31" s="17">
        <v>0</v>
      </c>
      <c r="D31" s="17">
        <v>233262</v>
      </c>
      <c r="E31" s="17">
        <v>233262</v>
      </c>
      <c r="F31" s="17">
        <v>233586</v>
      </c>
      <c r="G31" s="18">
        <f>IF(AND(F66&lt;&gt;0,233586&lt;&gt;0),IF(100*233586/(F66-0)&lt;0.005,"*",100*233586/(F66-0)),0)</f>
        <v>1.9460882905530663</v>
      </c>
    </row>
    <row r="32" spans="1:7" x14ac:dyDescent="0.2">
      <c r="A32" s="11" t="s">
        <v>133</v>
      </c>
      <c r="B32" s="17">
        <v>38466</v>
      </c>
      <c r="C32" s="17">
        <v>0</v>
      </c>
      <c r="D32" s="17">
        <v>38577</v>
      </c>
      <c r="E32" s="17">
        <v>38577</v>
      </c>
      <c r="F32" s="17">
        <v>38638</v>
      </c>
      <c r="G32" s="18">
        <f>IF(AND(F66&lt;&gt;0,38638&lt;&gt;0),IF(100*38638/(F66-0)&lt;0.005,"*",100*38638/(F66-0)),0)</f>
        <v>0.32190696090685816</v>
      </c>
    </row>
    <row r="33" spans="1:7" x14ac:dyDescent="0.2">
      <c r="A33" s="11" t="s">
        <v>134</v>
      </c>
      <c r="B33" s="17">
        <v>76529</v>
      </c>
      <c r="C33" s="17">
        <v>0</v>
      </c>
      <c r="D33" s="17">
        <v>76688</v>
      </c>
      <c r="E33" s="17">
        <v>76688</v>
      </c>
      <c r="F33" s="17">
        <v>76795</v>
      </c>
      <c r="G33" s="18">
        <f>IF(AND(F66&lt;&gt;0,76795&lt;&gt;0),IF(100*76795/(F66-0)&lt;0.005,"*",100*76795/(F66-0)),0)</f>
        <v>0.63980653923190056</v>
      </c>
    </row>
    <row r="34" spans="1:7" x14ac:dyDescent="0.2">
      <c r="A34" s="11" t="s">
        <v>135</v>
      </c>
      <c r="B34" s="17">
        <v>75942</v>
      </c>
      <c r="C34" s="17">
        <v>0</v>
      </c>
      <c r="D34" s="17">
        <v>77213</v>
      </c>
      <c r="E34" s="17">
        <v>77213</v>
      </c>
      <c r="F34" s="17">
        <v>77839</v>
      </c>
      <c r="G34" s="18">
        <f>IF(AND(F66&lt;&gt;0,77839&lt;&gt;0),IF(100*77839/(F66-0)&lt;0.005,"*",100*77839/(F66-0)),0)</f>
        <v>0.64850447564648617</v>
      </c>
    </row>
    <row r="35" spans="1:7" x14ac:dyDescent="0.2">
      <c r="A35" s="11" t="s">
        <v>136</v>
      </c>
      <c r="B35" s="17">
        <v>48627</v>
      </c>
      <c r="C35" s="17">
        <v>0</v>
      </c>
      <c r="D35" s="17">
        <v>48734</v>
      </c>
      <c r="E35" s="17">
        <v>48734</v>
      </c>
      <c r="F35" s="17">
        <v>48802</v>
      </c>
      <c r="G35" s="18">
        <f>IF(AND(F66&lt;&gt;0,48802&lt;&gt;0),IF(100*48802/(F66-0)&lt;0.005,"*",100*48802/(F66-0)),0)</f>
        <v>0.40658687059828391</v>
      </c>
    </row>
    <row r="36" spans="1:7" x14ac:dyDescent="0.2">
      <c r="A36" s="11" t="s">
        <v>137</v>
      </c>
      <c r="B36" s="17">
        <v>370398</v>
      </c>
      <c r="C36" s="17">
        <v>0</v>
      </c>
      <c r="D36" s="17">
        <v>371227</v>
      </c>
      <c r="E36" s="17">
        <v>371227</v>
      </c>
      <c r="F36" s="17">
        <v>371742</v>
      </c>
      <c r="G36" s="18">
        <f>IF(AND(F66&lt;&gt;0,371742&lt;&gt;0),IF(100*371742/(F66-0)&lt;0.005,"*",100*371742/(F66-0)),0)</f>
        <v>3.0971152094165659</v>
      </c>
    </row>
    <row r="37" spans="1:7" x14ac:dyDescent="0.2">
      <c r="A37" s="11" t="s">
        <v>138</v>
      </c>
      <c r="B37" s="17">
        <v>93352</v>
      </c>
      <c r="C37" s="17">
        <v>0</v>
      </c>
      <c r="D37" s="17">
        <v>93545</v>
      </c>
      <c r="E37" s="17">
        <v>93545</v>
      </c>
      <c r="F37" s="17">
        <v>93674</v>
      </c>
      <c r="G37" s="18">
        <f>IF(AND(F66&lt;&gt;0,93674&lt;&gt;0),IF(100*93674/(F66-0)&lt;0.005,"*",100*93674/(F66-0)),0)</f>
        <v>0.7804315092910874</v>
      </c>
    </row>
    <row r="38" spans="1:7" x14ac:dyDescent="0.2">
      <c r="A38" s="11" t="s">
        <v>139</v>
      </c>
      <c r="B38" s="17">
        <v>777344</v>
      </c>
      <c r="C38" s="17">
        <v>0</v>
      </c>
      <c r="D38" s="17">
        <v>779028</v>
      </c>
      <c r="E38" s="17">
        <v>779028</v>
      </c>
      <c r="F38" s="17">
        <v>780108</v>
      </c>
      <c r="G38" s="18">
        <f>IF(AND(F66&lt;&gt;0,780108&lt;&gt;0),IF(100*780108/(F66-0)&lt;0.005,"*",100*780108/(F66-0)),0)</f>
        <v>6.4993580273080216</v>
      </c>
    </row>
    <row r="39" spans="1:7" x14ac:dyDescent="0.2">
      <c r="A39" s="11" t="s">
        <v>140</v>
      </c>
      <c r="B39" s="17">
        <v>345041</v>
      </c>
      <c r="C39" s="17">
        <v>0</v>
      </c>
      <c r="D39" s="17">
        <v>345653</v>
      </c>
      <c r="E39" s="17">
        <v>345653</v>
      </c>
      <c r="F39" s="17">
        <v>346133</v>
      </c>
      <c r="G39" s="18">
        <f>IF(AND(F66&lt;&gt;0,346133&lt;&gt;0),IF(100*346133/(F66-0)&lt;0.005,"*",100*346133/(F66-0)),0)</f>
        <v>2.8837574952009302</v>
      </c>
    </row>
    <row r="40" spans="1:7" x14ac:dyDescent="0.2">
      <c r="A40" s="11" t="s">
        <v>141</v>
      </c>
      <c r="B40" s="17">
        <v>30475</v>
      </c>
      <c r="C40" s="17">
        <v>0</v>
      </c>
      <c r="D40" s="17">
        <v>31010</v>
      </c>
      <c r="E40" s="17">
        <v>31010</v>
      </c>
      <c r="F40" s="17">
        <v>31522</v>
      </c>
      <c r="G40" s="18">
        <f>IF(AND(F66&lt;&gt;0,31522&lt;&gt;0),IF(100*31522/(F66-0)&lt;0.005,"*",100*31522/(F66-0)),0)</f>
        <v>0.26262102649479746</v>
      </c>
    </row>
    <row r="41" spans="1:7" x14ac:dyDescent="0.2">
      <c r="A41" s="11" t="s">
        <v>142</v>
      </c>
      <c r="B41" s="17">
        <v>447005</v>
      </c>
      <c r="C41" s="17">
        <v>0</v>
      </c>
      <c r="D41" s="17">
        <v>447895</v>
      </c>
      <c r="E41" s="17">
        <v>447895</v>
      </c>
      <c r="F41" s="17">
        <v>448517</v>
      </c>
      <c r="G41" s="18">
        <f>IF(AND(F66&lt;&gt;0,448517&lt;&gt;0),IF(100*448517/(F66-0)&lt;0.005,"*",100*448517/(F66-0)),0)</f>
        <v>3.7367551215140873</v>
      </c>
    </row>
    <row r="42" spans="1:7" x14ac:dyDescent="0.2">
      <c r="A42" s="11" t="s">
        <v>143</v>
      </c>
      <c r="B42" s="17">
        <v>152014</v>
      </c>
      <c r="C42" s="17">
        <v>0</v>
      </c>
      <c r="D42" s="17">
        <v>152304</v>
      </c>
      <c r="E42" s="17">
        <v>152304</v>
      </c>
      <c r="F42" s="17">
        <v>152516</v>
      </c>
      <c r="G42" s="18">
        <f>IF(AND(F66&lt;&gt;0,152516&lt;&gt;0),IF(100*152516/(F66-0)&lt;0.005,"*",100*152516/(F66-0)),0)</f>
        <v>1.2706652013476469</v>
      </c>
    </row>
    <row r="43" spans="1:7" x14ac:dyDescent="0.2">
      <c r="A43" s="11" t="s">
        <v>144</v>
      </c>
      <c r="B43" s="17">
        <v>131857</v>
      </c>
      <c r="C43" s="17">
        <v>0</v>
      </c>
      <c r="D43" s="17">
        <v>132112</v>
      </c>
      <c r="E43" s="17">
        <v>132112</v>
      </c>
      <c r="F43" s="17">
        <v>132295</v>
      </c>
      <c r="G43" s="18">
        <f>IF(AND(F66&lt;&gt;0,132295&lt;&gt;0),IF(100*132295/(F66-0)&lt;0.005,"*",100*132295/(F66-0)),0)</f>
        <v>1.1021968371337234</v>
      </c>
    </row>
    <row r="44" spans="1:7" x14ac:dyDescent="0.2">
      <c r="A44" s="11" t="s">
        <v>145</v>
      </c>
      <c r="B44" s="17">
        <v>436337</v>
      </c>
      <c r="C44" s="17">
        <v>0</v>
      </c>
      <c r="D44" s="17">
        <v>437212</v>
      </c>
      <c r="E44" s="17">
        <v>437212</v>
      </c>
      <c r="F44" s="17">
        <v>437818</v>
      </c>
      <c r="G44" s="18">
        <f>IF(AND(F66&lt;&gt;0,437818&lt;&gt;0),IF(100*437818/(F66-0)&lt;0.005,"*",100*437818/(F66-0)),0)</f>
        <v>3.6476179359780225</v>
      </c>
    </row>
    <row r="45" spans="1:7" x14ac:dyDescent="0.2">
      <c r="A45" s="11" t="s">
        <v>146</v>
      </c>
      <c r="B45" s="17">
        <v>44810</v>
      </c>
      <c r="C45" s="17">
        <v>0</v>
      </c>
      <c r="D45" s="17">
        <v>44912</v>
      </c>
      <c r="E45" s="17">
        <v>44912</v>
      </c>
      <c r="F45" s="17">
        <v>44974</v>
      </c>
      <c r="G45" s="18">
        <f>IF(AND(F66&lt;&gt;0,44974&lt;&gt;0),IF(100*44974/(F66-0)&lt;0.005,"*",100*44974/(F66-0)),0)</f>
        <v>0.37469443707813654</v>
      </c>
    </row>
    <row r="46" spans="1:7" x14ac:dyDescent="0.2">
      <c r="A46" s="11" t="s">
        <v>147</v>
      </c>
      <c r="B46" s="17">
        <v>181258</v>
      </c>
      <c r="C46" s="17">
        <v>0</v>
      </c>
      <c r="D46" s="17">
        <v>181622</v>
      </c>
      <c r="E46" s="17">
        <v>181622</v>
      </c>
      <c r="F46" s="17">
        <v>181874</v>
      </c>
      <c r="G46" s="18">
        <f>IF(AND(F66&lt;&gt;0,181874&lt;&gt;0),IF(100*181874/(F66-0)&lt;0.005,"*",100*181874/(F66-0)),0)</f>
        <v>1.5152571719026329</v>
      </c>
    </row>
    <row r="47" spans="1:7" x14ac:dyDescent="0.2">
      <c r="A47" s="11" t="s">
        <v>148</v>
      </c>
      <c r="B47" s="17">
        <v>36304</v>
      </c>
      <c r="C47" s="17">
        <v>0</v>
      </c>
      <c r="D47" s="17">
        <v>36436</v>
      </c>
      <c r="E47" s="17">
        <v>36436</v>
      </c>
      <c r="F47" s="17">
        <v>36498</v>
      </c>
      <c r="G47" s="18">
        <f>IF(AND(F66&lt;&gt;0,36498&lt;&gt;0),IF(100*36498/(F66-0)&lt;0.005,"*",100*36498/(F66-0)),0)</f>
        <v>0.30407785752830141</v>
      </c>
    </row>
    <row r="48" spans="1:7" x14ac:dyDescent="0.2">
      <c r="A48" s="11" t="s">
        <v>149</v>
      </c>
      <c r="B48" s="17">
        <v>243442</v>
      </c>
      <c r="C48" s="17">
        <v>0</v>
      </c>
      <c r="D48" s="17">
        <v>243909</v>
      </c>
      <c r="E48" s="17">
        <v>243909</v>
      </c>
      <c r="F48" s="17">
        <v>244247</v>
      </c>
      <c r="G48" s="18">
        <f>IF(AND(F66&lt;&gt;0,244247&lt;&gt;0),IF(100*244247/(F66-0)&lt;0.005,"*",100*244247/(F66-0)),0)</f>
        <v>2.0349088845338108</v>
      </c>
    </row>
    <row r="49" spans="1:7" x14ac:dyDescent="0.2">
      <c r="A49" s="11" t="s">
        <v>150</v>
      </c>
      <c r="B49" s="17">
        <v>1032765</v>
      </c>
      <c r="C49" s="17">
        <v>0</v>
      </c>
      <c r="D49" s="17">
        <v>1034585</v>
      </c>
      <c r="E49" s="17">
        <v>1034585</v>
      </c>
      <c r="F49" s="17">
        <v>1036020</v>
      </c>
      <c r="G49" s="18">
        <f>IF(AND(F66&lt;&gt;0,1036020&lt;&gt;0),IF(100*1036020/(F66-0)&lt;0.005,"*",100*1036020/(F66-0)),0)</f>
        <v>8.6314521879684047</v>
      </c>
    </row>
    <row r="50" spans="1:7" x14ac:dyDescent="0.2">
      <c r="A50" s="11" t="s">
        <v>151</v>
      </c>
      <c r="B50" s="17">
        <v>115975</v>
      </c>
      <c r="C50" s="17">
        <v>0</v>
      </c>
      <c r="D50" s="17">
        <v>116170</v>
      </c>
      <c r="E50" s="17">
        <v>116170</v>
      </c>
      <c r="F50" s="17">
        <v>116331</v>
      </c>
      <c r="G50" s="18">
        <f>IF(AND(F66&lt;&gt;0,116331&lt;&gt;0),IF(100*116331/(F66-0)&lt;0.005,"*",100*116331/(F66-0)),0)</f>
        <v>0.96919505847237741</v>
      </c>
    </row>
    <row r="51" spans="1:7" x14ac:dyDescent="0.2">
      <c r="A51" s="11" t="s">
        <v>152</v>
      </c>
      <c r="B51" s="17">
        <v>29378</v>
      </c>
      <c r="C51" s="17">
        <v>0</v>
      </c>
      <c r="D51" s="17">
        <v>29899</v>
      </c>
      <c r="E51" s="17">
        <v>29899</v>
      </c>
      <c r="F51" s="17">
        <v>30394</v>
      </c>
      <c r="G51" s="18">
        <f>IF(AND(F66&lt;&gt;0,30394&lt;&gt;0),IF(100*30394/(F66-0)&lt;0.005,"*",100*30394/(F66-0)),0)</f>
        <v>0.25322325611581986</v>
      </c>
    </row>
    <row r="52" spans="1:7" x14ac:dyDescent="0.2">
      <c r="A52" s="11" t="s">
        <v>153</v>
      </c>
      <c r="B52" s="17">
        <v>291083</v>
      </c>
      <c r="C52" s="17">
        <v>0</v>
      </c>
      <c r="D52" s="17">
        <v>291639</v>
      </c>
      <c r="E52" s="17">
        <v>291639</v>
      </c>
      <c r="F52" s="17">
        <v>292044</v>
      </c>
      <c r="G52" s="18">
        <f>IF(AND(F66&lt;&gt;0,292044&lt;&gt;0),IF(100*292044/(F66-0)&lt;0.005,"*",100*292044/(F66-0)),0)</f>
        <v>2.4331227416295484</v>
      </c>
    </row>
    <row r="53" spans="1:7" x14ac:dyDescent="0.2">
      <c r="A53" s="11" t="s">
        <v>154</v>
      </c>
      <c r="B53" s="17">
        <v>225976</v>
      </c>
      <c r="C53" s="17">
        <v>0</v>
      </c>
      <c r="D53" s="17">
        <v>226398</v>
      </c>
      <c r="E53" s="17">
        <v>226398</v>
      </c>
      <c r="F53" s="17">
        <v>226712</v>
      </c>
      <c r="G53" s="18">
        <f>IF(AND(F66&lt;&gt;0,226712&lt;&gt;0),IF(100*226712/(F66-0)&lt;0.005,"*",100*226712/(F66-0)),0)</f>
        <v>1.8888185444669918</v>
      </c>
    </row>
    <row r="54" spans="1:7" x14ac:dyDescent="0.2">
      <c r="A54" s="11" t="s">
        <v>155</v>
      </c>
      <c r="B54" s="17">
        <v>77036</v>
      </c>
      <c r="C54" s="17">
        <v>0</v>
      </c>
      <c r="D54" s="17">
        <v>77998</v>
      </c>
      <c r="E54" s="17">
        <v>77998</v>
      </c>
      <c r="F54" s="17">
        <v>78106</v>
      </c>
      <c r="G54" s="18">
        <f>IF(AND(F66&lt;&gt;0,78106&lt;&gt;0),IF(100*78106/(F66-0)&lt;0.005,"*",100*78106/(F66-0)),0)</f>
        <v>0.65072894789044633</v>
      </c>
    </row>
    <row r="55" spans="1:7" x14ac:dyDescent="0.2">
      <c r="A55" s="11" t="s">
        <v>156</v>
      </c>
      <c r="B55" s="17">
        <v>213051</v>
      </c>
      <c r="C55" s="17">
        <v>0</v>
      </c>
      <c r="D55" s="17">
        <v>213490</v>
      </c>
      <c r="E55" s="17">
        <v>213490</v>
      </c>
      <c r="F55" s="17">
        <v>213786</v>
      </c>
      <c r="G55" s="18">
        <f>IF(AND(F66&lt;&gt;0,213786&lt;&gt;0),IF(100*213786/(F66-0)&lt;0.005,"*",100*213786/(F66-0)),0)</f>
        <v>1.7811274275178215</v>
      </c>
    </row>
    <row r="56" spans="1:7" x14ac:dyDescent="0.2">
      <c r="A56" s="11" t="s">
        <v>157</v>
      </c>
      <c r="B56" s="17">
        <v>30818</v>
      </c>
      <c r="C56" s="17">
        <v>0</v>
      </c>
      <c r="D56" s="17">
        <v>31367</v>
      </c>
      <c r="E56" s="17">
        <v>31367</v>
      </c>
      <c r="F56" s="17">
        <v>31886</v>
      </c>
      <c r="G56" s="18">
        <f>IF(AND(F66&lt;&gt;0,31886&lt;&gt;0),IF(100*31886/(F66-0)&lt;0.005,"*",100*31886/(F66-0)),0)</f>
        <v>0.26565364034049588</v>
      </c>
    </row>
    <row r="57" spans="1:7" x14ac:dyDescent="0.2">
      <c r="A57" s="11" t="s">
        <v>158</v>
      </c>
      <c r="B57" s="17">
        <v>6334</v>
      </c>
      <c r="C57" s="17">
        <v>0</v>
      </c>
      <c r="D57" s="17">
        <v>6369</v>
      </c>
      <c r="E57" s="17">
        <v>6369</v>
      </c>
      <c r="F57" s="17">
        <v>6369</v>
      </c>
      <c r="G57" s="18">
        <f>IF(AND(F66&lt;&gt;0,6369&lt;&gt;0),IF(100*6369/(F66-0)&lt;0.005,"*",100*6369/(F66-0)),0)</f>
        <v>5.306241094300377E-2</v>
      </c>
    </row>
    <row r="58" spans="1:7" x14ac:dyDescent="0.2">
      <c r="A58" s="11" t="s">
        <v>159</v>
      </c>
      <c r="B58" s="17">
        <v>14121</v>
      </c>
      <c r="C58" s="17">
        <v>0</v>
      </c>
      <c r="D58" s="17">
        <v>14121</v>
      </c>
      <c r="E58" s="17">
        <v>14121</v>
      </c>
      <c r="F58" s="17">
        <v>14121</v>
      </c>
      <c r="G58" s="18">
        <f>IF(AND(F66&lt;&gt;0,14121&lt;&gt;0),IF(100*14121/(F66-0)&lt;0.005,"*",100*14121/(F66-0)),0)</f>
        <v>0.11764708822831783</v>
      </c>
    </row>
    <row r="59" spans="1:7" x14ac:dyDescent="0.2">
      <c r="A59" s="11" t="s">
        <v>160</v>
      </c>
      <c r="B59" s="17">
        <v>4839</v>
      </c>
      <c r="C59" s="17">
        <v>0</v>
      </c>
      <c r="D59" s="17">
        <v>4839</v>
      </c>
      <c r="E59" s="17">
        <v>4839</v>
      </c>
      <c r="F59" s="17">
        <v>4839</v>
      </c>
      <c r="G59" s="18">
        <f>IF(AND(F66&lt;&gt;0,4839&lt;&gt;0),IF(100*4839/(F66-0)&lt;0.005,"*",100*4839/(F66-0)),0)</f>
        <v>4.0315435163007576E-2</v>
      </c>
    </row>
    <row r="60" spans="1:7" x14ac:dyDescent="0.2">
      <c r="A60" s="11" t="s">
        <v>161</v>
      </c>
      <c r="B60" s="17">
        <v>121580</v>
      </c>
      <c r="C60" s="17">
        <v>0</v>
      </c>
      <c r="D60" s="17">
        <v>121761</v>
      </c>
      <c r="E60" s="17">
        <v>121761</v>
      </c>
      <c r="F60" s="17">
        <v>121930</v>
      </c>
      <c r="G60" s="18">
        <f>IF(AND(F66&lt;&gt;0,121930&lt;&gt;0),IF(100*121930/(F66-0)&lt;0.005,"*",100*121930/(F66-0)),0)</f>
        <v>1.0158423247417883</v>
      </c>
    </row>
    <row r="61" spans="1:7" x14ac:dyDescent="0.2">
      <c r="A61" s="11" t="s">
        <v>162</v>
      </c>
      <c r="B61" s="17">
        <v>6579</v>
      </c>
      <c r="C61" s="17">
        <v>0</v>
      </c>
      <c r="D61" s="17">
        <v>6579</v>
      </c>
      <c r="E61" s="17">
        <v>6579</v>
      </c>
      <c r="F61" s="17">
        <v>6579</v>
      </c>
      <c r="G61" s="18">
        <f>IF(AND(F66&lt;&gt;0,6579&lt;&gt;0),IF(100*6579/(F66-0)&lt;0.005,"*",100*6579/(F66-0)),0)</f>
        <v>5.4811995853983643E-2</v>
      </c>
    </row>
    <row r="62" spans="1:7" x14ac:dyDescent="0.2">
      <c r="A62" s="11" t="s">
        <v>163</v>
      </c>
      <c r="B62" s="17">
        <v>8975</v>
      </c>
      <c r="C62" s="17">
        <v>0</v>
      </c>
      <c r="D62" s="17">
        <v>8975</v>
      </c>
      <c r="E62" s="17">
        <v>8975</v>
      </c>
      <c r="F62" s="17">
        <v>8975</v>
      </c>
      <c r="G62" s="18">
        <f>IF(AND(F66&lt;&gt;0,8975&lt;&gt;0),IF(100*8975/(F66-0)&lt;0.005,"*",100*8975/(F66-0)),0)</f>
        <v>7.477392655259206E-2</v>
      </c>
    </row>
    <row r="63" spans="1:7" x14ac:dyDescent="0.2">
      <c r="A63" s="11" t="s">
        <v>164</v>
      </c>
      <c r="B63" s="17">
        <v>94881</v>
      </c>
      <c r="C63" s="17">
        <v>0</v>
      </c>
      <c r="D63" s="17">
        <v>95235</v>
      </c>
      <c r="E63" s="17">
        <v>95235</v>
      </c>
      <c r="F63" s="17">
        <v>95382</v>
      </c>
      <c r="G63" s="18">
        <f>IF(AND(F66&lt;&gt;0,95382&lt;&gt;0),IF(100*95382/(F66-0)&lt;0.005,"*",100*95382/(F66-0)),0)</f>
        <v>0.79466146656705694</v>
      </c>
    </row>
    <row r="64" spans="1:7" x14ac:dyDescent="0.2">
      <c r="A64" s="11" t="s">
        <v>165</v>
      </c>
      <c r="B64" s="17">
        <v>35</v>
      </c>
      <c r="C64" s="17">
        <v>0</v>
      </c>
      <c r="D64" s="17">
        <v>0</v>
      </c>
      <c r="E64" s="17">
        <v>0</v>
      </c>
      <c r="F64" s="17">
        <v>0</v>
      </c>
      <c r="G64" s="18">
        <v>0</v>
      </c>
    </row>
    <row r="65" spans="1:7" x14ac:dyDescent="0.2">
      <c r="A65" s="11" t="s">
        <v>184</v>
      </c>
      <c r="B65" s="17">
        <v>21400</v>
      </c>
      <c r="C65" s="17">
        <v>0</v>
      </c>
      <c r="D65" s="17">
        <v>21400</v>
      </c>
      <c r="E65" s="17">
        <v>21400</v>
      </c>
      <c r="F65" s="17">
        <v>20000</v>
      </c>
      <c r="G65" s="18">
        <f>IF(AND(F66&lt;&gt;0,20000&lt;&gt;0),IF(100*20000/(F66-0)&lt;0.005,"*",100*20000/(F66-0)),0)</f>
        <v>0.16662713437903523</v>
      </c>
    </row>
    <row r="66" spans="1:7" ht="15" customHeight="1" x14ac:dyDescent="0.2">
      <c r="A66" s="19" t="s">
        <v>106</v>
      </c>
      <c r="B66" s="20">
        <f>185993+37713+199884+114564+1238605+163101+136225+36696+18879+658654+347098+40739+57538+515417+264933+125121+109290+161822+193041+56061+204910+290890+408891+194282+122648+232782+38466+76529+75942+48627+370398+93352+777344+345041+30475+447005+152014+131857+436337+44810+181258+36304+243442+1032765+115975+29378+291083+225976+77036+213051+30818+6334+14121+4839+121580+6579+8975+94881+35+21400+0</f>
        <v>11939804</v>
      </c>
      <c r="C66" s="20">
        <f>0+0+0+0+0+0+0+0+0+0+0+0+0+0+0+0+0+0+0+0+0+0+0+0+0+0+0+0+0+0+0+0+0+0+0+0+0+0+0+0+0+0+0+0+0+0+0+0+0+0+0+0+0+0+0+0+0+0+0+0+0</f>
        <v>0</v>
      </c>
      <c r="D66" s="20">
        <f>186367+37826+201820+114790+1253978+163386+136516+36804+19202+659904+347673+40817+57641+519232+265451+125383+109502+162140+193425+56198+205320+291540+409735+194672+122891+233262+38577+76688+77213+48734+371227+93545+779028+345653+31010+447895+152304+132112+437212+44912+181622+36436+243909+1034585+116170+29899+291639+226398+77998+213490+31367+6369+14121+4839+121761+6579+8975+95235+0+21400+0</f>
        <v>11984377</v>
      </c>
      <c r="E66" s="20">
        <f>SUM(C66:D66)</f>
        <v>11984377</v>
      </c>
      <c r="F66" s="20">
        <f>186626+37888+203172+114949+1255717+163612+136705+36865+19519+660819+348155+40874+57721+519952+265820+125557+109654+162365+193693+56276+205604+291945+410304+194942+123061+233586+38638+76795+77839+48802+371742+93674+780108+346133+31522+448517+152516+132295+437818+44974+181874+36498+244247+1036020+116331+30394+292044+226712+78106+213786+31886+6369+14121+4839+121930+6579+8975+95382+0+20000+0</f>
        <v>12002847</v>
      </c>
      <c r="G66" s="21" t="s">
        <v>166</v>
      </c>
    </row>
    <row r="67" spans="1:7" ht="15" customHeight="1" x14ac:dyDescent="0.2">
      <c r="A67" s="65" t="s">
        <v>168</v>
      </c>
      <c r="B67" s="65"/>
      <c r="C67" s="65"/>
      <c r="D67" s="65"/>
      <c r="E67" s="65"/>
      <c r="F67" s="65"/>
      <c r="G67" s="65"/>
    </row>
  </sheetData>
  <mergeCells count="5">
    <mergeCell ref="A67:G67"/>
    <mergeCell ref="A4:A5"/>
    <mergeCell ref="B4:B5"/>
    <mergeCell ref="F4:F5"/>
    <mergeCell ref="G4:G5"/>
  </mergeCells>
  <pageMargins left="0.7" right="0.7" top="0.75" bottom="0.75" header="0.3" footer="0.3"/>
  <pageSetup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181</v>
      </c>
      <c r="B1" s="10"/>
      <c r="C1" s="10"/>
      <c r="D1" s="10"/>
      <c r="E1" s="10"/>
      <c r="F1" s="10"/>
      <c r="G1" s="12" t="s">
        <v>185</v>
      </c>
    </row>
    <row r="2" spans="1:7" x14ac:dyDescent="0.2">
      <c r="A2" s="13" t="s">
        <v>186</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65201</v>
      </c>
      <c r="C6" s="17">
        <v>0</v>
      </c>
      <c r="D6" s="17">
        <v>64257</v>
      </c>
      <c r="E6" s="17">
        <v>64257</v>
      </c>
      <c r="F6" s="17">
        <v>69567</v>
      </c>
      <c r="G6" s="18">
        <f>IF(AND(F65&lt;&gt;0,69567&lt;&gt;0),IF(100*69567/(F65-0)&lt;0.005,"*",100*69567/(F65-0)),0)</f>
        <v>1.9752185554189534</v>
      </c>
    </row>
    <row r="7" spans="1:7" x14ac:dyDescent="0.2">
      <c r="A7" s="11" t="s">
        <v>108</v>
      </c>
      <c r="B7" s="17">
        <v>10711</v>
      </c>
      <c r="C7" s="17">
        <v>0</v>
      </c>
      <c r="D7" s="17">
        <v>10616</v>
      </c>
      <c r="E7" s="17">
        <v>10616</v>
      </c>
      <c r="F7" s="17">
        <v>11594</v>
      </c>
      <c r="G7" s="18">
        <f>IF(AND(F65&lt;&gt;0,11594&lt;&gt;0),IF(100*11594/(F65-0)&lt;0.005,"*",100*11594/(F65-0)),0)</f>
        <v>0.32918889605024432</v>
      </c>
    </row>
    <row r="8" spans="1:7" x14ac:dyDescent="0.2">
      <c r="A8" s="11" t="s">
        <v>109</v>
      </c>
      <c r="B8" s="17">
        <v>72822</v>
      </c>
      <c r="C8" s="17">
        <v>0</v>
      </c>
      <c r="D8" s="17">
        <v>72603</v>
      </c>
      <c r="E8" s="17">
        <v>72603</v>
      </c>
      <c r="F8" s="17">
        <v>80675</v>
      </c>
      <c r="G8" s="18">
        <f>IF(AND(F65&lt;&gt;0,80675&lt;&gt;0),IF(100*80675/(F65-0)&lt;0.005,"*",100*80675/(F65-0)),0)</f>
        <v>2.2906084344362134</v>
      </c>
    </row>
    <row r="9" spans="1:7" x14ac:dyDescent="0.2">
      <c r="A9" s="11" t="s">
        <v>110</v>
      </c>
      <c r="B9" s="17">
        <v>40560</v>
      </c>
      <c r="C9" s="17">
        <v>0</v>
      </c>
      <c r="D9" s="17">
        <v>38571</v>
      </c>
      <c r="E9" s="17">
        <v>38571</v>
      </c>
      <c r="F9" s="17">
        <v>41897</v>
      </c>
      <c r="G9" s="18">
        <f>IF(AND(F65&lt;&gt;0,41897&lt;&gt;0),IF(100*41897/(F65-0)&lt;0.005,"*",100*41897/(F65-0)),0)</f>
        <v>1.1895831617920551</v>
      </c>
    </row>
    <row r="10" spans="1:7" x14ac:dyDescent="0.2">
      <c r="A10" s="11" t="s">
        <v>111</v>
      </c>
      <c r="B10" s="17">
        <v>313323</v>
      </c>
      <c r="C10" s="17">
        <v>0</v>
      </c>
      <c r="D10" s="17">
        <v>296297</v>
      </c>
      <c r="E10" s="17">
        <v>296297</v>
      </c>
      <c r="F10" s="17">
        <v>325123</v>
      </c>
      <c r="G10" s="18">
        <f>IF(AND(F65&lt;&gt;0,325123&lt;&gt;0),IF(100*325123/(F65-0)&lt;0.005,"*",100*325123/(F65-0)),0)</f>
        <v>9.2312300716356379</v>
      </c>
    </row>
    <row r="11" spans="1:7" x14ac:dyDescent="0.2">
      <c r="A11" s="11" t="s">
        <v>112</v>
      </c>
      <c r="B11" s="17">
        <v>38999</v>
      </c>
      <c r="C11" s="17">
        <v>0</v>
      </c>
      <c r="D11" s="17">
        <v>44504</v>
      </c>
      <c r="E11" s="17">
        <v>44504</v>
      </c>
      <c r="F11" s="17">
        <v>49057</v>
      </c>
      <c r="G11" s="18">
        <f>IF(AND(F65&lt;&gt;0,49057&lt;&gt;0),IF(100*49057/(F65-0)&lt;0.005,"*",100*49057/(F65-0)),0)</f>
        <v>1.3928773221956905</v>
      </c>
    </row>
    <row r="12" spans="1:7" x14ac:dyDescent="0.2">
      <c r="A12" s="11" t="s">
        <v>113</v>
      </c>
      <c r="B12" s="17">
        <v>22244</v>
      </c>
      <c r="C12" s="17">
        <v>0</v>
      </c>
      <c r="D12" s="17">
        <v>21288</v>
      </c>
      <c r="E12" s="17">
        <v>21288</v>
      </c>
      <c r="F12" s="17">
        <v>22945</v>
      </c>
      <c r="G12" s="18">
        <f>IF(AND(F65&lt;&gt;0,22945&lt;&gt;0),IF(100*22945/(F65-0)&lt;0.005,"*",100*22945/(F65-0)),0)</f>
        <v>0.65147828358399651</v>
      </c>
    </row>
    <row r="13" spans="1:7" x14ac:dyDescent="0.2">
      <c r="A13" s="11" t="s">
        <v>114</v>
      </c>
      <c r="B13" s="17">
        <v>10958</v>
      </c>
      <c r="C13" s="17">
        <v>0</v>
      </c>
      <c r="D13" s="17">
        <v>10616</v>
      </c>
      <c r="E13" s="17">
        <v>10616</v>
      </c>
      <c r="F13" s="17">
        <v>11594</v>
      </c>
      <c r="G13" s="18">
        <f>IF(AND(F65&lt;&gt;0,11594&lt;&gt;0),IF(100*11594/(F65-0)&lt;0.005,"*",100*11594/(F65-0)),0)</f>
        <v>0.32918889605024432</v>
      </c>
    </row>
    <row r="14" spans="1:7" x14ac:dyDescent="0.2">
      <c r="A14" s="11" t="s">
        <v>115</v>
      </c>
      <c r="B14" s="17">
        <v>14977</v>
      </c>
      <c r="C14" s="17">
        <v>0</v>
      </c>
      <c r="D14" s="17">
        <v>14538</v>
      </c>
      <c r="E14" s="17">
        <v>14538</v>
      </c>
      <c r="F14" s="17">
        <v>15754</v>
      </c>
      <c r="G14" s="18">
        <f>IF(AND(F65&lt;&gt;0,15754&lt;&gt;0),IF(100*15754/(F65-0)&lt;0.005,"*",100*15754/(F65-0)),0)</f>
        <v>0.44730393896632303</v>
      </c>
    </row>
    <row r="15" spans="1:7" x14ac:dyDescent="0.2">
      <c r="A15" s="11" t="s">
        <v>116</v>
      </c>
      <c r="B15" s="17">
        <v>184999</v>
      </c>
      <c r="C15" s="17">
        <v>0</v>
      </c>
      <c r="D15" s="17">
        <v>194899</v>
      </c>
      <c r="E15" s="17">
        <v>194899</v>
      </c>
      <c r="F15" s="17">
        <v>216845</v>
      </c>
      <c r="G15" s="18">
        <f>IF(AND(F65&lt;&gt;0,216845&lt;&gt;0),IF(100*216845/(F65-0)&lt;0.005,"*",100*216845/(F65-0)),0)</f>
        <v>6.1568885771964146</v>
      </c>
    </row>
    <row r="16" spans="1:7" x14ac:dyDescent="0.2">
      <c r="A16" s="11" t="s">
        <v>117</v>
      </c>
      <c r="B16" s="17">
        <v>100000</v>
      </c>
      <c r="C16" s="17">
        <v>0</v>
      </c>
      <c r="D16" s="17">
        <v>114106</v>
      </c>
      <c r="E16" s="17">
        <v>114106</v>
      </c>
      <c r="F16" s="17">
        <v>125745</v>
      </c>
      <c r="G16" s="18">
        <f>IF(AND(F65&lt;&gt;0,125745&lt;&gt;0),IF(100*125745/(F65-0)&lt;0.005,"*",100*125745/(F65-0)),0)</f>
        <v>3.5702827094909413</v>
      </c>
    </row>
    <row r="17" spans="1:7" x14ac:dyDescent="0.2">
      <c r="A17" s="11" t="s">
        <v>118</v>
      </c>
      <c r="B17" s="17">
        <v>12944</v>
      </c>
      <c r="C17" s="17">
        <v>0</v>
      </c>
      <c r="D17" s="17">
        <v>12494</v>
      </c>
      <c r="E17" s="17">
        <v>12494</v>
      </c>
      <c r="F17" s="17">
        <v>13630</v>
      </c>
      <c r="G17" s="18">
        <f>IF(AND(F65&lt;&gt;0,13630&lt;&gt;0),IF(100*13630/(F65-0)&lt;0.005,"*",100*13630/(F65-0)),0)</f>
        <v>0.38699712378513285</v>
      </c>
    </row>
    <row r="18" spans="1:7" x14ac:dyDescent="0.2">
      <c r="A18" s="11" t="s">
        <v>119</v>
      </c>
      <c r="B18" s="17">
        <v>18814</v>
      </c>
      <c r="C18" s="17">
        <v>0</v>
      </c>
      <c r="D18" s="17">
        <v>19259</v>
      </c>
      <c r="E18" s="17">
        <v>19259</v>
      </c>
      <c r="F18" s="17">
        <v>21403</v>
      </c>
      <c r="G18" s="18">
        <f>IF(AND(F65&lt;&gt;0,21403&lt;&gt;0),IF(100*21403/(F65-0)&lt;0.005,"*",100*21403/(F65-0)),0)</f>
        <v>0.60769621719539235</v>
      </c>
    </row>
    <row r="19" spans="1:7" x14ac:dyDescent="0.2">
      <c r="A19" s="11" t="s">
        <v>120</v>
      </c>
      <c r="B19" s="17">
        <v>112059</v>
      </c>
      <c r="C19" s="17">
        <v>0</v>
      </c>
      <c r="D19" s="17">
        <v>113035</v>
      </c>
      <c r="E19" s="17">
        <v>113035</v>
      </c>
      <c r="F19" s="17">
        <v>122652</v>
      </c>
      <c r="G19" s="18">
        <f>IF(AND(F65&lt;&gt;0,122652&lt;&gt;0),IF(100*122652/(F65-0)&lt;0.005,"*",100*122652/(F65-0)),0)</f>
        <v>3.4824630393612703</v>
      </c>
    </row>
    <row r="20" spans="1:7" x14ac:dyDescent="0.2">
      <c r="A20" s="11" t="s">
        <v>121</v>
      </c>
      <c r="B20" s="17">
        <v>70816</v>
      </c>
      <c r="C20" s="17">
        <v>0</v>
      </c>
      <c r="D20" s="17">
        <v>75931</v>
      </c>
      <c r="E20" s="17">
        <v>75931</v>
      </c>
      <c r="F20" s="17">
        <v>82646</v>
      </c>
      <c r="G20" s="18">
        <f>IF(AND(F65&lt;&gt;0,82646&lt;&gt;0),IF(100*82646/(F65-0)&lt;0.005,"*",100*82646/(F65-0)),0)</f>
        <v>2.3465711146255384</v>
      </c>
    </row>
    <row r="21" spans="1:7" x14ac:dyDescent="0.2">
      <c r="A21" s="11" t="s">
        <v>122</v>
      </c>
      <c r="B21" s="17">
        <v>30817</v>
      </c>
      <c r="C21" s="17">
        <v>0</v>
      </c>
      <c r="D21" s="17">
        <v>32865</v>
      </c>
      <c r="E21" s="17">
        <v>32865</v>
      </c>
      <c r="F21" s="17">
        <v>35638</v>
      </c>
      <c r="G21" s="18">
        <f>IF(AND(F65&lt;&gt;0,35638&lt;&gt;0),IF(100*35638/(F65-0)&lt;0.005,"*",100*35638/(F65-0)),0)</f>
        <v>1.0118711296738492</v>
      </c>
    </row>
    <row r="22" spans="1:7" x14ac:dyDescent="0.2">
      <c r="A22" s="11" t="s">
        <v>123</v>
      </c>
      <c r="B22" s="17">
        <v>27815</v>
      </c>
      <c r="C22" s="17">
        <v>0</v>
      </c>
      <c r="D22" s="17">
        <v>27950</v>
      </c>
      <c r="E22" s="17">
        <v>27950</v>
      </c>
      <c r="F22" s="17">
        <v>30328</v>
      </c>
      <c r="G22" s="18">
        <f>IF(AND(F65&lt;&gt;0,30328&lt;&gt;0),IF(100*30328/(F65-0)&lt;0.005,"*",100*30328/(F65-0)),0)</f>
        <v>0.86110409172087377</v>
      </c>
    </row>
    <row r="23" spans="1:7" x14ac:dyDescent="0.2">
      <c r="A23" s="11" t="s">
        <v>124</v>
      </c>
      <c r="B23" s="17">
        <v>53299</v>
      </c>
      <c r="C23" s="17">
        <v>0</v>
      </c>
      <c r="D23" s="17">
        <v>57865</v>
      </c>
      <c r="E23" s="17">
        <v>57865</v>
      </c>
      <c r="F23" s="17">
        <v>62762</v>
      </c>
      <c r="G23" s="18">
        <f>IF(AND(F65&lt;&gt;0,62762&lt;&gt;0),IF(100*62762/(F65-0)&lt;0.005,"*",100*62762/(F65-0)),0)</f>
        <v>1.7820039239180123</v>
      </c>
    </row>
    <row r="24" spans="1:7" x14ac:dyDescent="0.2">
      <c r="A24" s="11" t="s">
        <v>125</v>
      </c>
      <c r="B24" s="17">
        <v>34327</v>
      </c>
      <c r="C24" s="17">
        <v>0</v>
      </c>
      <c r="D24" s="17">
        <v>56905</v>
      </c>
      <c r="E24" s="17">
        <v>56905</v>
      </c>
      <c r="F24" s="17">
        <v>61298</v>
      </c>
      <c r="G24" s="18">
        <f>IF(AND(F65&lt;&gt;0,61298&lt;&gt;0),IF(100*61298/(F65-0)&lt;0.005,"*",100*61298/(F65-0)),0)</f>
        <v>1.7404365145840845</v>
      </c>
    </row>
    <row r="25" spans="1:7" x14ac:dyDescent="0.2">
      <c r="A25" s="11" t="s">
        <v>126</v>
      </c>
      <c r="B25" s="17">
        <v>16628</v>
      </c>
      <c r="C25" s="17">
        <v>0</v>
      </c>
      <c r="D25" s="17">
        <v>16144</v>
      </c>
      <c r="E25" s="17">
        <v>16144</v>
      </c>
      <c r="F25" s="17">
        <v>17442</v>
      </c>
      <c r="G25" s="18">
        <f>IF(AND(F65&lt;&gt;0,17442&lt;&gt;0),IF(100*17442/(F65-0)&lt;0.005,"*",100*17442/(F65-0)),0)</f>
        <v>0.49523138907265496</v>
      </c>
    </row>
    <row r="26" spans="1:7" x14ac:dyDescent="0.2">
      <c r="A26" s="11" t="s">
        <v>127</v>
      </c>
      <c r="B26" s="17">
        <v>43856</v>
      </c>
      <c r="C26" s="17">
        <v>0</v>
      </c>
      <c r="D26" s="17">
        <v>44234</v>
      </c>
      <c r="E26" s="17">
        <v>44234</v>
      </c>
      <c r="F26" s="17">
        <v>48135</v>
      </c>
      <c r="G26" s="18">
        <f>IF(AND(F65&lt;&gt;0,48135&lt;&gt;0),IF(100*48135/(F65-0)&lt;0.005,"*",100*48135/(F65-0)),0)</f>
        <v>1.366698940087848</v>
      </c>
    </row>
    <row r="27" spans="1:7" x14ac:dyDescent="0.2">
      <c r="A27" s="11" t="s">
        <v>128</v>
      </c>
      <c r="B27" s="17">
        <v>50396</v>
      </c>
      <c r="C27" s="17">
        <v>0</v>
      </c>
      <c r="D27" s="17">
        <v>47863</v>
      </c>
      <c r="E27" s="17">
        <v>47863</v>
      </c>
      <c r="F27" s="17">
        <v>51434</v>
      </c>
      <c r="G27" s="18">
        <f>IF(AND(F65&lt;&gt;0,51434&lt;&gt;0),IF(100*51434/(F65-0)&lt;0.005,"*",100*51434/(F65-0)),0)</f>
        <v>1.4603675762849979</v>
      </c>
    </row>
    <row r="28" spans="1:7" x14ac:dyDescent="0.2">
      <c r="A28" s="11" t="s">
        <v>129</v>
      </c>
      <c r="B28" s="17">
        <v>110553</v>
      </c>
      <c r="C28" s="17">
        <v>0</v>
      </c>
      <c r="D28" s="17">
        <v>110872</v>
      </c>
      <c r="E28" s="17">
        <v>110872</v>
      </c>
      <c r="F28" s="17">
        <v>120632</v>
      </c>
      <c r="G28" s="18">
        <f>IF(AND(F65&lt;&gt;0,120632&lt;&gt;0),IF(100*120632/(F65-0)&lt;0.005,"*",100*120632/(F65-0)),0)</f>
        <v>3.4251091002529819</v>
      </c>
    </row>
    <row r="29" spans="1:7" x14ac:dyDescent="0.2">
      <c r="A29" s="11" t="s">
        <v>130</v>
      </c>
      <c r="B29" s="17">
        <v>50053</v>
      </c>
      <c r="C29" s="17">
        <v>0</v>
      </c>
      <c r="D29" s="17">
        <v>49448</v>
      </c>
      <c r="E29" s="17">
        <v>49448</v>
      </c>
      <c r="F29" s="17">
        <v>53925</v>
      </c>
      <c r="G29" s="18">
        <f>IF(AND(F65&lt;&gt;0,53925&lt;&gt;0),IF(100*53925/(F65-0)&lt;0.005,"*",100*53925/(F65-0)),0)</f>
        <v>1.5310946368388325</v>
      </c>
    </row>
    <row r="30" spans="1:7" x14ac:dyDescent="0.2">
      <c r="A30" s="11" t="s">
        <v>131</v>
      </c>
      <c r="B30" s="17">
        <v>42782</v>
      </c>
      <c r="C30" s="17">
        <v>0</v>
      </c>
      <c r="D30" s="17">
        <v>44016</v>
      </c>
      <c r="E30" s="17">
        <v>44016</v>
      </c>
      <c r="F30" s="17">
        <v>47406</v>
      </c>
      <c r="G30" s="18">
        <f>IF(AND(F65&lt;&gt;0,47406&lt;&gt;0),IF(100*47406/(F65-0)&lt;0.005,"*",100*47406/(F65-0)),0)</f>
        <v>1.3460004145383717</v>
      </c>
    </row>
    <row r="31" spans="1:7" x14ac:dyDescent="0.2">
      <c r="A31" s="11" t="s">
        <v>132</v>
      </c>
      <c r="B31" s="17">
        <v>67397</v>
      </c>
      <c r="C31" s="17">
        <v>0</v>
      </c>
      <c r="D31" s="17">
        <v>69555</v>
      </c>
      <c r="E31" s="17">
        <v>69555</v>
      </c>
      <c r="F31" s="17">
        <v>75521</v>
      </c>
      <c r="G31" s="18">
        <f>IF(AND(F65&lt;&gt;0,75521&lt;&gt;0),IF(100*75521/(F65-0)&lt;0.005,"*",100*75521/(F65-0)),0)</f>
        <v>2.1442707105925911</v>
      </c>
    </row>
    <row r="32" spans="1:7" x14ac:dyDescent="0.2">
      <c r="A32" s="11" t="s">
        <v>133</v>
      </c>
      <c r="B32" s="17">
        <v>12134</v>
      </c>
      <c r="C32" s="17">
        <v>0</v>
      </c>
      <c r="D32" s="17">
        <v>11793</v>
      </c>
      <c r="E32" s="17">
        <v>11793</v>
      </c>
      <c r="F32" s="17">
        <v>12870</v>
      </c>
      <c r="G32" s="18">
        <f>IF(AND(F65&lt;&gt;0,12870&lt;&gt;0),IF(100*12870/(F65-0)&lt;0.005,"*",100*12870/(F65-0)),0)</f>
        <v>0.36541841402161845</v>
      </c>
    </row>
    <row r="33" spans="1:7" x14ac:dyDescent="0.2">
      <c r="A33" s="11" t="s">
        <v>134</v>
      </c>
      <c r="B33" s="17">
        <v>18665</v>
      </c>
      <c r="C33" s="17">
        <v>0</v>
      </c>
      <c r="D33" s="17">
        <v>18162</v>
      </c>
      <c r="E33" s="17">
        <v>18162</v>
      </c>
      <c r="F33" s="17">
        <v>19737</v>
      </c>
      <c r="G33" s="18">
        <f>IF(AND(F65&lt;&gt;0,19737&lt;&gt;0),IF(100*19737/(F65-0)&lt;0.005,"*",100*19737/(F65-0)),0)</f>
        <v>0.56039341395063591</v>
      </c>
    </row>
    <row r="34" spans="1:7" x14ac:dyDescent="0.2">
      <c r="A34" s="11" t="s">
        <v>135</v>
      </c>
      <c r="B34" s="17">
        <v>16381</v>
      </c>
      <c r="C34" s="17">
        <v>0</v>
      </c>
      <c r="D34" s="17">
        <v>27278</v>
      </c>
      <c r="E34" s="17">
        <v>27278</v>
      </c>
      <c r="F34" s="17">
        <v>30671</v>
      </c>
      <c r="G34" s="18">
        <f>IF(AND(F65&lt;&gt;0,30671&lt;&gt;0),IF(100*30671/(F65-0)&lt;0.005,"*",100*30671/(F65-0)),0)</f>
        <v>0.87084290415361765</v>
      </c>
    </row>
    <row r="35" spans="1:7" x14ac:dyDescent="0.2">
      <c r="A35" s="11" t="s">
        <v>136</v>
      </c>
      <c r="B35" s="17">
        <v>10801</v>
      </c>
      <c r="C35" s="17">
        <v>0</v>
      </c>
      <c r="D35" s="17">
        <v>10707</v>
      </c>
      <c r="E35" s="17">
        <v>10707</v>
      </c>
      <c r="F35" s="17">
        <v>11594</v>
      </c>
      <c r="G35" s="18">
        <f>IF(AND(F65&lt;&gt;0,11594&lt;&gt;0),IF(100*11594/(F65-0)&lt;0.005,"*",100*11594/(F65-0)),0)</f>
        <v>0.32918889605024432</v>
      </c>
    </row>
    <row r="36" spans="1:7" x14ac:dyDescent="0.2">
      <c r="A36" s="11" t="s">
        <v>137</v>
      </c>
      <c r="B36" s="17">
        <v>61751</v>
      </c>
      <c r="C36" s="17">
        <v>0</v>
      </c>
      <c r="D36" s="17">
        <v>60807</v>
      </c>
      <c r="E36" s="17">
        <v>60807</v>
      </c>
      <c r="F36" s="17">
        <v>65902</v>
      </c>
      <c r="G36" s="18">
        <f>IF(AND(F65&lt;&gt;0,65902&lt;&gt;0),IF(100*65902/(F65-0)&lt;0.005,"*",100*65902/(F65-0)),0)</f>
        <v>1.8711580668883216</v>
      </c>
    </row>
    <row r="37" spans="1:7" x14ac:dyDescent="0.2">
      <c r="A37" s="11" t="s">
        <v>138</v>
      </c>
      <c r="B37" s="17">
        <v>24975</v>
      </c>
      <c r="C37" s="17">
        <v>0</v>
      </c>
      <c r="D37" s="17">
        <v>25653</v>
      </c>
      <c r="E37" s="17">
        <v>25653</v>
      </c>
      <c r="F37" s="17">
        <v>27978</v>
      </c>
      <c r="G37" s="18">
        <f>IF(AND(F65&lt;&gt;0,27978&lt;&gt;0),IF(100*27978/(F65-0)&lt;0.005,"*",100*27978/(F65-0)),0)</f>
        <v>0.79438044968895427</v>
      </c>
    </row>
    <row r="38" spans="1:7" x14ac:dyDescent="0.2">
      <c r="A38" s="11" t="s">
        <v>139</v>
      </c>
      <c r="B38" s="17">
        <v>155365</v>
      </c>
      <c r="C38" s="17">
        <v>0</v>
      </c>
      <c r="D38" s="17">
        <v>145642</v>
      </c>
      <c r="E38" s="17">
        <v>145642</v>
      </c>
      <c r="F38" s="17">
        <v>157233</v>
      </c>
      <c r="G38" s="18">
        <f>IF(AND(F65&lt;&gt;0,157233&lt;&gt;0),IF(100*157233/(F65-0)&lt;0.005,"*",100*157233/(F65-0)),0)</f>
        <v>4.4643227266403365</v>
      </c>
    </row>
    <row r="39" spans="1:7" x14ac:dyDescent="0.2">
      <c r="A39" s="11" t="s">
        <v>140</v>
      </c>
      <c r="B39" s="17">
        <v>110157</v>
      </c>
      <c r="C39" s="17">
        <v>0</v>
      </c>
      <c r="D39" s="17">
        <v>114574</v>
      </c>
      <c r="E39" s="17">
        <v>114574</v>
      </c>
      <c r="F39" s="17">
        <v>125952</v>
      </c>
      <c r="G39" s="18">
        <f>IF(AND(F65&lt;&gt;0,125952&lt;&gt;0),IF(100*125952/(F65-0)&lt;0.005,"*",100*125952/(F65-0)),0)</f>
        <v>3.5761600685975825</v>
      </c>
    </row>
    <row r="40" spans="1:7" x14ac:dyDescent="0.2">
      <c r="A40" s="11" t="s">
        <v>141</v>
      </c>
      <c r="B40" s="17">
        <v>10404</v>
      </c>
      <c r="C40" s="17">
        <v>0</v>
      </c>
      <c r="D40" s="17">
        <v>10616</v>
      </c>
      <c r="E40" s="17">
        <v>10616</v>
      </c>
      <c r="F40" s="17">
        <v>11594</v>
      </c>
      <c r="G40" s="18">
        <f>IF(AND(F65&lt;&gt;0,11594&lt;&gt;0),IF(100*11594/(F65-0)&lt;0.005,"*",100*11594/(F65-0)),0)</f>
        <v>0.32918889605024432</v>
      </c>
    </row>
    <row r="41" spans="1:7" x14ac:dyDescent="0.2">
      <c r="A41" s="11" t="s">
        <v>142</v>
      </c>
      <c r="B41" s="17">
        <v>104755</v>
      </c>
      <c r="C41" s="17">
        <v>0</v>
      </c>
      <c r="D41" s="17">
        <v>131522</v>
      </c>
      <c r="E41" s="17">
        <v>131522</v>
      </c>
      <c r="F41" s="17">
        <v>142595</v>
      </c>
      <c r="G41" s="18">
        <f>IF(AND(F65&lt;&gt;0,142595&lt;&gt;0),IF(100*142595/(F65-0)&lt;0.005,"*",100*142595/(F65-0)),0)</f>
        <v>4.0487054193793846</v>
      </c>
    </row>
    <row r="42" spans="1:7" x14ac:dyDescent="0.2">
      <c r="A42" s="11" t="s">
        <v>143</v>
      </c>
      <c r="B42" s="17">
        <v>41741</v>
      </c>
      <c r="C42" s="17">
        <v>0</v>
      </c>
      <c r="D42" s="17">
        <v>41388</v>
      </c>
      <c r="E42" s="17">
        <v>41388</v>
      </c>
      <c r="F42" s="17">
        <v>44807</v>
      </c>
      <c r="G42" s="18">
        <f>IF(AND(F65&lt;&gt;0,44807&lt;&gt;0),IF(100*44807/(F65-0)&lt;0.005,"*",100*44807/(F65-0)),0)</f>
        <v>1.2722069057549852</v>
      </c>
    </row>
    <row r="43" spans="1:7" x14ac:dyDescent="0.2">
      <c r="A43" s="11" t="s">
        <v>144</v>
      </c>
      <c r="B43" s="17">
        <v>44917</v>
      </c>
      <c r="C43" s="17">
        <v>0</v>
      </c>
      <c r="D43" s="17">
        <v>42055</v>
      </c>
      <c r="E43" s="17">
        <v>42055</v>
      </c>
      <c r="F43" s="17">
        <v>46324</v>
      </c>
      <c r="G43" s="18">
        <f>IF(AND(F65&lt;&gt;0,46324&lt;&gt;0),IF(100*46324/(F65-0)&lt;0.005,"*",100*46324/(F65-0)),0)</f>
        <v>1.3152791461645263</v>
      </c>
    </row>
    <row r="44" spans="1:7" x14ac:dyDescent="0.2">
      <c r="A44" s="11" t="s">
        <v>145</v>
      </c>
      <c r="B44" s="17">
        <v>131563</v>
      </c>
      <c r="C44" s="17">
        <v>0</v>
      </c>
      <c r="D44" s="17">
        <v>126921</v>
      </c>
      <c r="E44" s="17">
        <v>126921</v>
      </c>
      <c r="F44" s="17">
        <v>136864</v>
      </c>
      <c r="G44" s="18">
        <f>IF(AND(F65&lt;&gt;0,136864&lt;&gt;0),IF(100*136864/(F65-0)&lt;0.005,"*",100*136864/(F65-0)),0)</f>
        <v>3.8859849119389889</v>
      </c>
    </row>
    <row r="45" spans="1:7" x14ac:dyDescent="0.2">
      <c r="A45" s="11" t="s">
        <v>146</v>
      </c>
      <c r="B45" s="17">
        <v>10936</v>
      </c>
      <c r="C45" s="17">
        <v>0</v>
      </c>
      <c r="D45" s="17">
        <v>10616</v>
      </c>
      <c r="E45" s="17">
        <v>10616</v>
      </c>
      <c r="F45" s="17">
        <v>11594</v>
      </c>
      <c r="G45" s="18">
        <f>IF(AND(F65&lt;&gt;0,11594&lt;&gt;0),IF(100*11594/(F65-0)&lt;0.005,"*",100*11594/(F65-0)),0)</f>
        <v>0.32918889605024432</v>
      </c>
    </row>
    <row r="46" spans="1:7" x14ac:dyDescent="0.2">
      <c r="A46" s="11" t="s">
        <v>147</v>
      </c>
      <c r="B46" s="17">
        <v>63659</v>
      </c>
      <c r="C46" s="17">
        <v>0</v>
      </c>
      <c r="D46" s="17">
        <v>61164</v>
      </c>
      <c r="E46" s="17">
        <v>61164</v>
      </c>
      <c r="F46" s="17">
        <v>67146</v>
      </c>
      <c r="G46" s="18">
        <f>IF(AND(F65&lt;&gt;0,67146&lt;&gt;0),IF(100*67146/(F65-0)&lt;0.005,"*",100*67146/(F65-0)),0)</f>
        <v>1.9064790076064952</v>
      </c>
    </row>
    <row r="47" spans="1:7" x14ac:dyDescent="0.2">
      <c r="A47" s="11" t="s">
        <v>148</v>
      </c>
      <c r="B47" s="17">
        <v>10903</v>
      </c>
      <c r="C47" s="17">
        <v>0</v>
      </c>
      <c r="D47" s="17">
        <v>10616</v>
      </c>
      <c r="E47" s="17">
        <v>10616</v>
      </c>
      <c r="F47" s="17">
        <v>11594</v>
      </c>
      <c r="G47" s="18">
        <f>IF(AND(F65&lt;&gt;0,11594&lt;&gt;0),IF(100*11594/(F65-0)&lt;0.005,"*",100*11594/(F65-0)),0)</f>
        <v>0.32918889605024432</v>
      </c>
    </row>
    <row r="48" spans="1:7" x14ac:dyDescent="0.2">
      <c r="A48" s="11" t="s">
        <v>149</v>
      </c>
      <c r="B48" s="17">
        <v>59043</v>
      </c>
      <c r="C48" s="17">
        <v>0</v>
      </c>
      <c r="D48" s="17">
        <v>76512</v>
      </c>
      <c r="E48" s="17">
        <v>76512</v>
      </c>
      <c r="F48" s="17">
        <v>83568</v>
      </c>
      <c r="G48" s="18">
        <f>IF(AND(F65&lt;&gt;0,83568&lt;&gt;0),IF(100*83568/(F65-0)&lt;0.005,"*",100*83568/(F65-0)),0)</f>
        <v>2.3727494967333809</v>
      </c>
    </row>
    <row r="49" spans="1:7" x14ac:dyDescent="0.2">
      <c r="A49" s="11" t="s">
        <v>150</v>
      </c>
      <c r="B49" s="17">
        <v>278589</v>
      </c>
      <c r="C49" s="17">
        <v>0</v>
      </c>
      <c r="D49" s="17">
        <v>252946</v>
      </c>
      <c r="E49" s="17">
        <v>252946</v>
      </c>
      <c r="F49" s="17">
        <v>279751</v>
      </c>
      <c r="G49" s="18">
        <f>IF(AND(F65&lt;&gt;0,279751&lt;&gt;0),IF(100*279751/(F65-0)&lt;0.005,"*",100*279751/(F65-0)),0)</f>
        <v>7.9429810987538296</v>
      </c>
    </row>
    <row r="50" spans="1:7" x14ac:dyDescent="0.2">
      <c r="A50" s="11" t="s">
        <v>151</v>
      </c>
      <c r="B50" s="17">
        <v>32356</v>
      </c>
      <c r="C50" s="17">
        <v>0</v>
      </c>
      <c r="D50" s="17">
        <v>33943</v>
      </c>
      <c r="E50" s="17">
        <v>33943</v>
      </c>
      <c r="F50" s="17">
        <v>37655</v>
      </c>
      <c r="G50" s="18">
        <f>IF(AND(F65&lt;&gt;0,37655&lt;&gt;0),IF(100*37655/(F65-0)&lt;0.005,"*",100*37655/(F65-0)),0)</f>
        <v>1.0691398896646498</v>
      </c>
    </row>
    <row r="51" spans="1:7" x14ac:dyDescent="0.2">
      <c r="A51" s="11" t="s">
        <v>152</v>
      </c>
      <c r="B51" s="17">
        <v>11061</v>
      </c>
      <c r="C51" s="17">
        <v>0</v>
      </c>
      <c r="D51" s="17">
        <v>10616</v>
      </c>
      <c r="E51" s="17">
        <v>10616</v>
      </c>
      <c r="F51" s="17">
        <v>11594</v>
      </c>
      <c r="G51" s="18">
        <f>IF(AND(F65&lt;&gt;0,11594&lt;&gt;0),IF(100*11594/(F65-0)&lt;0.005,"*",100*11594/(F65-0)),0)</f>
        <v>0.32918889605024432</v>
      </c>
    </row>
    <row r="52" spans="1:7" x14ac:dyDescent="0.2">
      <c r="A52" s="11" t="s">
        <v>153</v>
      </c>
      <c r="B52" s="17">
        <v>71643</v>
      </c>
      <c r="C52" s="17">
        <v>0</v>
      </c>
      <c r="D52" s="17">
        <v>70470</v>
      </c>
      <c r="E52" s="17">
        <v>70470</v>
      </c>
      <c r="F52" s="17">
        <v>76832</v>
      </c>
      <c r="G52" s="18">
        <f>IF(AND(F65&lt;&gt;0,76832&lt;&gt;0),IF(100*76832/(F65-0)&lt;0.005,"*",100*76832/(F65-0)),0)</f>
        <v>2.1814939849346535</v>
      </c>
    </row>
    <row r="53" spans="1:7" x14ac:dyDescent="0.2">
      <c r="A53" s="11" t="s">
        <v>154</v>
      </c>
      <c r="B53" s="17">
        <v>58727</v>
      </c>
      <c r="C53" s="17">
        <v>0</v>
      </c>
      <c r="D53" s="17">
        <v>57321</v>
      </c>
      <c r="E53" s="17">
        <v>57321</v>
      </c>
      <c r="F53" s="17">
        <v>63348</v>
      </c>
      <c r="G53" s="18">
        <f>IF(AND(F65&lt;&gt;0,63348&lt;&gt;0),IF(100*63348/(F65-0)&lt;0.005,"*",100*63348/(F65-0)),0)</f>
        <v>1.7986422448672483</v>
      </c>
    </row>
    <row r="54" spans="1:7" x14ac:dyDescent="0.2">
      <c r="A54" s="11" t="s">
        <v>155</v>
      </c>
      <c r="B54" s="17">
        <v>26954</v>
      </c>
      <c r="C54" s="17">
        <v>0</v>
      </c>
      <c r="D54" s="17">
        <v>26476</v>
      </c>
      <c r="E54" s="17">
        <v>26476</v>
      </c>
      <c r="F54" s="17">
        <v>28327</v>
      </c>
      <c r="G54" s="18">
        <f>IF(AND(F65&lt;&gt;0,28327&lt;&gt;0),IF(100*28327/(F65-0)&lt;0.005,"*",100*28327/(F65-0)),0)</f>
        <v>0.8042896203566734</v>
      </c>
    </row>
    <row r="55" spans="1:7" x14ac:dyDescent="0.2">
      <c r="A55" s="11" t="s">
        <v>156</v>
      </c>
      <c r="B55" s="17">
        <v>62801</v>
      </c>
      <c r="C55" s="17">
        <v>0</v>
      </c>
      <c r="D55" s="17">
        <v>60930</v>
      </c>
      <c r="E55" s="17">
        <v>60930</v>
      </c>
      <c r="F55" s="17">
        <v>66035</v>
      </c>
      <c r="G55" s="18">
        <f>IF(AND(F65&lt;&gt;0,66035&lt;&gt;0),IF(100*66035/(F65-0)&lt;0.005,"*",100*66035/(F65-0)),0)</f>
        <v>1.8749343410969366</v>
      </c>
    </row>
    <row r="56" spans="1:7" x14ac:dyDescent="0.2">
      <c r="A56" s="11" t="s">
        <v>157</v>
      </c>
      <c r="B56" s="17">
        <v>10404</v>
      </c>
      <c r="C56" s="17">
        <v>0</v>
      </c>
      <c r="D56" s="17">
        <v>10616</v>
      </c>
      <c r="E56" s="17">
        <v>10616</v>
      </c>
      <c r="F56" s="17">
        <v>11594</v>
      </c>
      <c r="G56" s="18">
        <f>IF(AND(F65&lt;&gt;0,11594&lt;&gt;0),IF(100*11594/(F65-0)&lt;0.005,"*",100*11594/(F65-0)),0)</f>
        <v>0.32918889605024432</v>
      </c>
    </row>
    <row r="57" spans="1:7" x14ac:dyDescent="0.2">
      <c r="A57" s="11" t="s">
        <v>158</v>
      </c>
      <c r="B57" s="17">
        <v>924</v>
      </c>
      <c r="C57" s="17">
        <v>0</v>
      </c>
      <c r="D57" s="17">
        <v>948</v>
      </c>
      <c r="E57" s="17">
        <v>948</v>
      </c>
      <c r="F57" s="17">
        <v>980</v>
      </c>
      <c r="G57" s="18">
        <f>IF(AND(F65&lt;&gt;0,980&lt;&gt;0),IF(100*980/(F65-0)&lt;0.005,"*",100*980/(F65-0)),0)</f>
        <v>2.7825178379268539E-2</v>
      </c>
    </row>
    <row r="58" spans="1:7" x14ac:dyDescent="0.2">
      <c r="A58" s="11" t="s">
        <v>159</v>
      </c>
      <c r="B58" s="17">
        <v>2478</v>
      </c>
      <c r="C58" s="17">
        <v>0</v>
      </c>
      <c r="D58" s="17">
        <v>2938</v>
      </c>
      <c r="E58" s="17">
        <v>2938</v>
      </c>
      <c r="F58" s="17">
        <v>3252</v>
      </c>
      <c r="G58" s="18">
        <f>IF(AND(F65&lt;&gt;0,3252&lt;&gt;0),IF(100*3252/(F65-0)&lt;0.005,"*",100*3252/(F65-0)),0)</f>
        <v>9.2334163356511512E-2</v>
      </c>
    </row>
    <row r="59" spans="1:7" x14ac:dyDescent="0.2">
      <c r="A59" s="11" t="s">
        <v>160</v>
      </c>
      <c r="B59" s="17">
        <v>867</v>
      </c>
      <c r="C59" s="17">
        <v>0</v>
      </c>
      <c r="D59" s="17">
        <v>854</v>
      </c>
      <c r="E59" s="17">
        <v>854</v>
      </c>
      <c r="F59" s="17">
        <v>916</v>
      </c>
      <c r="G59" s="18">
        <f>IF(AND(F65&lt;&gt;0,916&lt;&gt;0),IF(100*916/(F65-0)&lt;0.005,"*",100*916/(F65-0)),0)</f>
        <v>2.6008023872867329E-2</v>
      </c>
    </row>
    <row r="60" spans="1:7" x14ac:dyDescent="0.2">
      <c r="A60" s="11" t="s">
        <v>161</v>
      </c>
      <c r="B60" s="17">
        <v>56762</v>
      </c>
      <c r="C60" s="17">
        <v>0</v>
      </c>
      <c r="D60" s="17">
        <v>68027</v>
      </c>
      <c r="E60" s="17">
        <v>68027</v>
      </c>
      <c r="F60" s="17">
        <v>72056</v>
      </c>
      <c r="G60" s="18">
        <f>IF(AND(F65&lt;&gt;0,72056&lt;&gt;0),IF(100*72056/(F65-0)&lt;0.005,"*",100*72056/(F65-0)),0)</f>
        <v>2.0458888298944631</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1988</v>
      </c>
      <c r="C62" s="17">
        <v>0</v>
      </c>
      <c r="D62" s="17">
        <v>2007</v>
      </c>
      <c r="E62" s="17">
        <v>2007</v>
      </c>
      <c r="F62" s="17">
        <v>2227</v>
      </c>
      <c r="G62" s="18">
        <f>IF(AND(F65&lt;&gt;0,2227&lt;&gt;0),IF(100*2227/(F65-0)&lt;0.005,"*",100*2227/(F65-0)),0)</f>
        <v>6.3231298214929621E-2</v>
      </c>
    </row>
    <row r="63" spans="1:7" x14ac:dyDescent="0.2">
      <c r="A63" s="11" t="s">
        <v>164</v>
      </c>
      <c r="B63" s="17">
        <v>43000</v>
      </c>
      <c r="C63" s="17">
        <v>0</v>
      </c>
      <c r="D63" s="17">
        <v>40189</v>
      </c>
      <c r="E63" s="17">
        <v>40189</v>
      </c>
      <c r="F63" s="17">
        <v>43752</v>
      </c>
      <c r="G63" s="18">
        <f>IF(AND(F65&lt;&gt;0,43752&lt;&gt;0),IF(100*43752/(F65-0)&lt;0.005,"*",100*43752/(F65-0)),0)</f>
        <v>1.2422522494385277</v>
      </c>
    </row>
    <row r="64" spans="1:7" x14ac:dyDescent="0.2">
      <c r="A64" s="11" t="s">
        <v>165</v>
      </c>
      <c r="B64" s="17">
        <v>0</v>
      </c>
      <c r="C64" s="17">
        <v>0</v>
      </c>
      <c r="D64" s="17">
        <v>0</v>
      </c>
      <c r="E64" s="17">
        <v>0</v>
      </c>
      <c r="F64" s="17">
        <v>0</v>
      </c>
      <c r="G64" s="18">
        <v>0</v>
      </c>
    </row>
    <row r="65" spans="1:7" ht="15" customHeight="1" x14ac:dyDescent="0.2">
      <c r="A65" s="19" t="s">
        <v>106</v>
      </c>
      <c r="B65" s="20" t="s">
        <v>529</v>
      </c>
      <c r="C65" s="20">
        <f>0+0+0+0+0+0+0+0+0+0+0+0+0+0+0+0+0+0+0+0+0+0+0+0+0+0+0+0+0+0+0+0+0+0+0+0+0+0+0+0+0+0+0+0+0+0+0+0+0+0+0+0+0+0+0+0+0+0+0+0</f>
        <v>0</v>
      </c>
      <c r="D65" s="20">
        <v>3225038</v>
      </c>
      <c r="E65" s="20" t="s">
        <v>530</v>
      </c>
      <c r="F65" s="20">
        <f>69567+11594+80675+41897+325123+49057+22945+11594+15754+216845+125745+13630+21403+122652+82646+35638+30328+62762+61298+17442+48135+51434+120632+53925+47406+75521+12870+19737+30671+11594+65902+27978+157233+125952+11594+142595+44807+46324+136864+11594+67146+11594+83568+279751+37655+11594+76832+63348+28327+66035+11594+980+3252+916+72056+0+2227+43752+0+0</f>
        <v>3521990</v>
      </c>
      <c r="G65" s="21" t="s">
        <v>230</v>
      </c>
    </row>
    <row r="66" spans="1:7" ht="15" customHeight="1" x14ac:dyDescent="0.2">
      <c r="A66" s="73" t="s">
        <v>531</v>
      </c>
      <c r="B66" s="73"/>
      <c r="C66" s="73"/>
      <c r="D66" s="73"/>
      <c r="E66" s="73"/>
      <c r="F66" s="73"/>
      <c r="G66" s="73"/>
    </row>
    <row r="67" spans="1:7" ht="15" customHeight="1" x14ac:dyDescent="0.2">
      <c r="A67" s="73" t="s">
        <v>532</v>
      </c>
      <c r="B67" s="73"/>
      <c r="C67" s="73"/>
      <c r="D67" s="73"/>
      <c r="E67" s="73"/>
      <c r="F67" s="73"/>
      <c r="G67" s="73"/>
    </row>
    <row r="68" spans="1:7" ht="15" customHeight="1" x14ac:dyDescent="0.2">
      <c r="A68" s="65" t="s">
        <v>231</v>
      </c>
      <c r="B68" s="65"/>
      <c r="C68" s="65"/>
      <c r="D68" s="65"/>
      <c r="E68" s="65"/>
      <c r="F68" s="65"/>
      <c r="G68" s="65"/>
    </row>
  </sheetData>
  <mergeCells count="7">
    <mergeCell ref="A66:G66"/>
    <mergeCell ref="A67:G67"/>
    <mergeCell ref="A68:G68"/>
    <mergeCell ref="A4:A5"/>
    <mergeCell ref="B4:B5"/>
    <mergeCell ref="F4:F5"/>
    <mergeCell ref="G4:G5"/>
  </mergeCells>
  <pageMargins left="0.7" right="0.7" top="0.75" bottom="0.75" header="0.3" footer="0.3"/>
  <pageSetup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187</v>
      </c>
      <c r="B1" s="10"/>
      <c r="C1" s="10"/>
      <c r="D1" s="10"/>
      <c r="E1" s="10"/>
      <c r="F1" s="10"/>
      <c r="G1" s="12" t="s">
        <v>188</v>
      </c>
    </row>
    <row r="2" spans="1:7" x14ac:dyDescent="0.2">
      <c r="A2" s="13" t="s">
        <v>189</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319667</v>
      </c>
      <c r="C6" s="17">
        <v>61162</v>
      </c>
      <c r="D6" s="17">
        <v>281507</v>
      </c>
      <c r="E6" s="17">
        <v>342669</v>
      </c>
      <c r="F6" s="17">
        <v>228446</v>
      </c>
      <c r="G6" s="18">
        <f>IF(AND(F65&lt;&gt;0,228446&lt;&gt;0),IF(100*228446/(F65-0)&lt;0.005,"*",100*228446/(F65-0)),0)</f>
        <v>2.0039133353929834</v>
      </c>
    </row>
    <row r="7" spans="1:7" x14ac:dyDescent="0.2">
      <c r="A7" s="11" t="s">
        <v>108</v>
      </c>
      <c r="B7" s="17">
        <v>32562</v>
      </c>
      <c r="C7" s="17">
        <v>6230</v>
      </c>
      <c r="D7" s="17">
        <v>28675</v>
      </c>
      <c r="E7" s="17">
        <v>34905</v>
      </c>
      <c r="F7" s="17">
        <v>23270</v>
      </c>
      <c r="G7" s="18">
        <f>IF(AND(F65&lt;&gt;0,23270&lt;&gt;0),IF(100*23270/(F65-0)&lt;0.005,"*",100*23270/(F65-0)),0)</f>
        <v>0.20412291445065672</v>
      </c>
    </row>
    <row r="8" spans="1:7" x14ac:dyDescent="0.2">
      <c r="A8" s="11" t="s">
        <v>109</v>
      </c>
      <c r="B8" s="17">
        <v>206434</v>
      </c>
      <c r="C8" s="17">
        <v>39497</v>
      </c>
      <c r="D8" s="17">
        <v>181791</v>
      </c>
      <c r="E8" s="17">
        <v>221288</v>
      </c>
      <c r="F8" s="17">
        <v>147525</v>
      </c>
      <c r="G8" s="18">
        <f>IF(AND(F65&lt;&gt;0,147525&lt;&gt;0),IF(100*147525/(F65-0)&lt;0.005,"*",100*147525/(F65-0)),0)</f>
        <v>1.2940796284629623</v>
      </c>
    </row>
    <row r="9" spans="1:7" x14ac:dyDescent="0.2">
      <c r="A9" s="11" t="s">
        <v>110</v>
      </c>
      <c r="B9" s="17">
        <v>194356</v>
      </c>
      <c r="C9" s="17">
        <v>37186</v>
      </c>
      <c r="D9" s="17">
        <v>171155</v>
      </c>
      <c r="E9" s="17">
        <v>208341</v>
      </c>
      <c r="F9" s="17">
        <v>138894</v>
      </c>
      <c r="G9" s="18">
        <f>IF(AND(F65&lt;&gt;0,138894&lt;&gt;0),IF(100*138894/(F65-0)&lt;0.005,"*",100*138894/(F65-0)),0)</f>
        <v>1.2183690622995065</v>
      </c>
    </row>
    <row r="10" spans="1:7" x14ac:dyDescent="0.2">
      <c r="A10" s="11" t="s">
        <v>111</v>
      </c>
      <c r="B10" s="17">
        <v>2668626</v>
      </c>
      <c r="C10" s="17">
        <v>510588</v>
      </c>
      <c r="D10" s="17">
        <v>2350062</v>
      </c>
      <c r="E10" s="17">
        <v>2860650</v>
      </c>
      <c r="F10" s="17">
        <v>1907099</v>
      </c>
      <c r="G10" s="18">
        <f>IF(AND(F65&lt;&gt;0,1907099&lt;&gt;0),IF(100*1907099/(F65-0)&lt;0.005,"*",100*1907099/(F65-0)),0)</f>
        <v>16.728947401200386</v>
      </c>
    </row>
    <row r="11" spans="1:7" x14ac:dyDescent="0.2">
      <c r="A11" s="11" t="s">
        <v>112</v>
      </c>
      <c r="B11" s="17">
        <v>254391</v>
      </c>
      <c r="C11" s="17">
        <v>48673</v>
      </c>
      <c r="D11" s="17">
        <v>224023</v>
      </c>
      <c r="E11" s="17">
        <v>272696</v>
      </c>
      <c r="F11" s="17">
        <v>181797</v>
      </c>
      <c r="G11" s="18">
        <f>IF(AND(F65&lt;&gt;0,181797&lt;&gt;0),IF(100*181797/(F65-0)&lt;0.005,"*",100*181797/(F65-0)),0)</f>
        <v>1.5947113656375609</v>
      </c>
    </row>
    <row r="12" spans="1:7" x14ac:dyDescent="0.2">
      <c r="A12" s="11" t="s">
        <v>113</v>
      </c>
      <c r="B12" s="17">
        <v>77405</v>
      </c>
      <c r="C12" s="17">
        <v>14810</v>
      </c>
      <c r="D12" s="17">
        <v>68165</v>
      </c>
      <c r="E12" s="17">
        <v>82975</v>
      </c>
      <c r="F12" s="17">
        <v>55316</v>
      </c>
      <c r="G12" s="18">
        <f>IF(AND(F65&lt;&gt;0,55316&lt;&gt;0),IF(100*55316/(F65-0)&lt;0.005,"*",100*55316/(F65-0)),0)</f>
        <v>0.48522832555876783</v>
      </c>
    </row>
    <row r="13" spans="1:7" x14ac:dyDescent="0.2">
      <c r="A13" s="11" t="s">
        <v>114</v>
      </c>
      <c r="B13" s="17">
        <v>35252</v>
      </c>
      <c r="C13" s="17">
        <v>6745</v>
      </c>
      <c r="D13" s="17">
        <v>31044</v>
      </c>
      <c r="E13" s="17">
        <v>37789</v>
      </c>
      <c r="F13" s="17">
        <v>25192</v>
      </c>
      <c r="G13" s="18">
        <f>IF(AND(F65&lt;&gt;0,25192&lt;&gt;0),IF(100*25192/(F65-0)&lt;0.005,"*",100*25192/(F65-0)),0)</f>
        <v>0.22098257244696795</v>
      </c>
    </row>
    <row r="14" spans="1:7" x14ac:dyDescent="0.2">
      <c r="A14" s="11" t="s">
        <v>115</v>
      </c>
      <c r="B14" s="17">
        <v>42469</v>
      </c>
      <c r="C14" s="17">
        <v>8126</v>
      </c>
      <c r="D14" s="17">
        <v>37399</v>
      </c>
      <c r="E14" s="17">
        <v>45525</v>
      </c>
      <c r="F14" s="17">
        <v>30350</v>
      </c>
      <c r="G14" s="18">
        <f>IF(AND(F65&lt;&gt;0,30350&lt;&gt;0),IF(100*30350/(F65-0)&lt;0.005,"*",100*30350/(F65-0)),0)</f>
        <v>0.26622821029554927</v>
      </c>
    </row>
    <row r="15" spans="1:7" x14ac:dyDescent="0.2">
      <c r="A15" s="11" t="s">
        <v>116</v>
      </c>
      <c r="B15" s="17">
        <v>686575</v>
      </c>
      <c r="C15" s="17">
        <v>131362</v>
      </c>
      <c r="D15" s="17">
        <v>604616</v>
      </c>
      <c r="E15" s="17">
        <v>735978</v>
      </c>
      <c r="F15" s="17">
        <v>490652</v>
      </c>
      <c r="G15" s="18">
        <f>IF(AND(F65&lt;&gt;0,490652&lt;&gt;0),IF(100*490652/(F65-0)&lt;0.005,"*",100*490652/(F65-0)),0)</f>
        <v>4.3039671775265846</v>
      </c>
    </row>
    <row r="16" spans="1:7" x14ac:dyDescent="0.2">
      <c r="A16" s="11" t="s">
        <v>117</v>
      </c>
      <c r="B16" s="17">
        <v>404760</v>
      </c>
      <c r="C16" s="17">
        <v>77443</v>
      </c>
      <c r="D16" s="17">
        <v>356442</v>
      </c>
      <c r="E16" s="17">
        <v>433885</v>
      </c>
      <c r="F16" s="17">
        <v>289257</v>
      </c>
      <c r="G16" s="18">
        <f>IF(AND(F65&lt;&gt;0,289257&lt;&gt;0),IF(100*289257/(F65-0)&lt;0.005,"*",100*289257/(F65-0)),0)</f>
        <v>2.5373434407070738</v>
      </c>
    </row>
    <row r="17" spans="1:7" x14ac:dyDescent="0.2">
      <c r="A17" s="11" t="s">
        <v>118</v>
      </c>
      <c r="B17" s="17">
        <v>52297</v>
      </c>
      <c r="C17" s="17">
        <v>10006</v>
      </c>
      <c r="D17" s="17">
        <v>46054</v>
      </c>
      <c r="E17" s="17">
        <v>56060</v>
      </c>
      <c r="F17" s="17">
        <v>37373</v>
      </c>
      <c r="G17" s="18">
        <f>IF(AND(F65&lt;&gt;0,37373&lt;&gt;0),IF(100*37373/(F65-0)&lt;0.005,"*",100*37373/(F65-0)),0)</f>
        <v>0.32783350587728377</v>
      </c>
    </row>
    <row r="18" spans="1:7" x14ac:dyDescent="0.2">
      <c r="A18" s="11" t="s">
        <v>119</v>
      </c>
      <c r="B18" s="17">
        <v>82890</v>
      </c>
      <c r="C18" s="17">
        <v>15859</v>
      </c>
      <c r="D18" s="17">
        <v>72995</v>
      </c>
      <c r="E18" s="17">
        <v>88854</v>
      </c>
      <c r="F18" s="17">
        <v>59236</v>
      </c>
      <c r="G18" s="18">
        <f>IF(AND(F65&lt;&gt;0,59236&lt;&gt;0),IF(100*59236/(F65-0)&lt;0.005,"*",100*59236/(F65-0)),0)</f>
        <v>0.51961430856893431</v>
      </c>
    </row>
    <row r="19" spans="1:7" x14ac:dyDescent="0.2">
      <c r="A19" s="11" t="s">
        <v>120</v>
      </c>
      <c r="B19" s="17">
        <v>547395</v>
      </c>
      <c r="C19" s="17">
        <v>104733</v>
      </c>
      <c r="D19" s="17">
        <v>482050</v>
      </c>
      <c r="E19" s="17">
        <v>586783</v>
      </c>
      <c r="F19" s="17">
        <v>391189</v>
      </c>
      <c r="G19" s="18">
        <f>IF(AND(F65&lt;&gt;0,391189&lt;&gt;0),IF(100*391189/(F65-0)&lt;0.005,"*",100*391189/(F65-0)),0)</f>
        <v>3.4314842621846995</v>
      </c>
    </row>
    <row r="20" spans="1:7" x14ac:dyDescent="0.2">
      <c r="A20" s="11" t="s">
        <v>121</v>
      </c>
      <c r="B20" s="17">
        <v>191065</v>
      </c>
      <c r="C20" s="17">
        <v>36556</v>
      </c>
      <c r="D20" s="17">
        <v>168257</v>
      </c>
      <c r="E20" s="17">
        <v>204813</v>
      </c>
      <c r="F20" s="17">
        <v>136542</v>
      </c>
      <c r="G20" s="18">
        <f>IF(AND(F65&lt;&gt;0,136542&lt;&gt;0),IF(100*136542/(F65-0)&lt;0.005,"*",100*136542/(F65-0)),0)</f>
        <v>1.1977374724934067</v>
      </c>
    </row>
    <row r="21" spans="1:7" x14ac:dyDescent="0.2">
      <c r="A21" s="11" t="s">
        <v>122</v>
      </c>
      <c r="B21" s="17">
        <v>145720</v>
      </c>
      <c r="C21" s="17">
        <v>27881</v>
      </c>
      <c r="D21" s="17">
        <v>128325</v>
      </c>
      <c r="E21" s="17">
        <v>156206</v>
      </c>
      <c r="F21" s="17">
        <v>104137</v>
      </c>
      <c r="G21" s="18">
        <f>IF(AND(F65&lt;&gt;0,104137&lt;&gt;0),IF(100*104137/(F65-0)&lt;0.005,"*",100*104137/(F65-0)),0)</f>
        <v>0.91348293692084404</v>
      </c>
    </row>
    <row r="22" spans="1:7" x14ac:dyDescent="0.2">
      <c r="A22" s="11" t="s">
        <v>123</v>
      </c>
      <c r="B22" s="17">
        <v>124659</v>
      </c>
      <c r="C22" s="17">
        <v>23851</v>
      </c>
      <c r="D22" s="17">
        <v>109778</v>
      </c>
      <c r="E22" s="17">
        <v>133629</v>
      </c>
      <c r="F22" s="17">
        <v>89086</v>
      </c>
      <c r="G22" s="18">
        <f>IF(AND(F65&lt;&gt;0,89086&lt;&gt;0),IF(100*89086/(F65-0)&lt;0.005,"*",100*89086/(F65-0)),0)</f>
        <v>0.78145655164379912</v>
      </c>
    </row>
    <row r="23" spans="1:7" x14ac:dyDescent="0.2">
      <c r="A23" s="11" t="s">
        <v>124</v>
      </c>
      <c r="B23" s="17">
        <v>268215</v>
      </c>
      <c r="C23" s="17">
        <v>51318</v>
      </c>
      <c r="D23" s="17">
        <v>236197</v>
      </c>
      <c r="E23" s="17">
        <v>287515</v>
      </c>
      <c r="F23" s="17">
        <v>191676</v>
      </c>
      <c r="G23" s="18">
        <f>IF(AND(F65&lt;&gt;0,191676&lt;&gt;0),IF(100*191676/(F65-0)&lt;0.005,"*",100*191676/(F65-0)),0)</f>
        <v>1.6813693059838453</v>
      </c>
    </row>
    <row r="24" spans="1:7" x14ac:dyDescent="0.2">
      <c r="A24" s="11" t="s">
        <v>125</v>
      </c>
      <c r="B24" s="17">
        <v>358807</v>
      </c>
      <c r="C24" s="17">
        <v>68651</v>
      </c>
      <c r="D24" s="17">
        <v>315975</v>
      </c>
      <c r="E24" s="17">
        <v>384626</v>
      </c>
      <c r="F24" s="17">
        <v>256417</v>
      </c>
      <c r="G24" s="18">
        <f>IF(AND(F65&lt;&gt;0,256417&lt;&gt;0),IF(100*256417/(F65-0)&lt;0.005,"*",100*256417/(F65-0)),0)</f>
        <v>2.2492731136525159</v>
      </c>
    </row>
    <row r="25" spans="1:7" x14ac:dyDescent="0.2">
      <c r="A25" s="11" t="s">
        <v>126</v>
      </c>
      <c r="B25" s="17">
        <v>35722</v>
      </c>
      <c r="C25" s="17">
        <v>6835</v>
      </c>
      <c r="D25" s="17">
        <v>31458</v>
      </c>
      <c r="E25" s="17">
        <v>38293</v>
      </c>
      <c r="F25" s="17">
        <v>25528</v>
      </c>
      <c r="G25" s="18">
        <f>IF(AND(F65&lt;&gt;0,25528&lt;&gt;0),IF(100*25528/(F65-0)&lt;0.005,"*",100*25528/(F65-0)),0)</f>
        <v>0.22392994241926795</v>
      </c>
    </row>
    <row r="26" spans="1:7" x14ac:dyDescent="0.2">
      <c r="A26" s="11" t="s">
        <v>127</v>
      </c>
      <c r="B26" s="17">
        <v>295919</v>
      </c>
      <c r="C26" s="17">
        <v>56618</v>
      </c>
      <c r="D26" s="17">
        <v>260594</v>
      </c>
      <c r="E26" s="17">
        <v>317212</v>
      </c>
      <c r="F26" s="17">
        <v>211475</v>
      </c>
      <c r="G26" s="18">
        <f>IF(AND(F65&lt;&gt;0,211475&lt;&gt;0),IF(100*211475/(F65-0)&lt;0.005,"*",100*211475/(F65-0)),0)</f>
        <v>1.8550448359885101</v>
      </c>
    </row>
    <row r="27" spans="1:7" x14ac:dyDescent="0.2">
      <c r="A27" s="11" t="s">
        <v>128</v>
      </c>
      <c r="B27" s="17">
        <v>671336</v>
      </c>
      <c r="C27" s="17">
        <v>128447</v>
      </c>
      <c r="D27" s="17">
        <v>591196</v>
      </c>
      <c r="E27" s="17">
        <v>719643</v>
      </c>
      <c r="F27" s="17">
        <v>479762</v>
      </c>
      <c r="G27" s="18">
        <f>IF(AND(F65&lt;&gt;0,479762&lt;&gt;0),IF(100*479762/(F65-0)&lt;0.005,"*",100*479762/(F65-0)),0)</f>
        <v>4.2084408114600764</v>
      </c>
    </row>
    <row r="28" spans="1:7" x14ac:dyDescent="0.2">
      <c r="A28" s="11" t="s">
        <v>129</v>
      </c>
      <c r="B28" s="17">
        <v>264782</v>
      </c>
      <c r="C28" s="17">
        <v>50661</v>
      </c>
      <c r="D28" s="17">
        <v>233174</v>
      </c>
      <c r="E28" s="17">
        <v>283835</v>
      </c>
      <c r="F28" s="17">
        <v>189223</v>
      </c>
      <c r="G28" s="18">
        <f>IF(AND(F65&lt;&gt;0,189223&lt;&gt;0),IF(100*189223/(F65-0)&lt;0.005,"*",100*189223/(F65-0)),0)</f>
        <v>1.659851750799167</v>
      </c>
    </row>
    <row r="29" spans="1:7" x14ac:dyDescent="0.2">
      <c r="A29" s="11" t="s">
        <v>130</v>
      </c>
      <c r="B29" s="17">
        <v>115190</v>
      </c>
      <c r="C29" s="17">
        <v>22039</v>
      </c>
      <c r="D29" s="17">
        <v>101439</v>
      </c>
      <c r="E29" s="17">
        <v>123478</v>
      </c>
      <c r="F29" s="17">
        <v>82319</v>
      </c>
      <c r="G29" s="18">
        <f>IF(AND(F65&lt;&gt;0,82319&lt;&gt;0),IF(100*82319/(F65-0)&lt;0.005,"*",100*82319/(F65-0)),0)</f>
        <v>0.72209687127905509</v>
      </c>
    </row>
    <row r="30" spans="1:7" x14ac:dyDescent="0.2">
      <c r="A30" s="11" t="s">
        <v>131</v>
      </c>
      <c r="B30" s="17">
        <v>316825</v>
      </c>
      <c r="C30" s="17">
        <v>60618</v>
      </c>
      <c r="D30" s="17">
        <v>279004</v>
      </c>
      <c r="E30" s="17">
        <v>339622</v>
      </c>
      <c r="F30" s="17">
        <v>226415</v>
      </c>
      <c r="G30" s="18">
        <f>IF(AND(F65&lt;&gt;0,226415&lt;&gt;0),IF(100*226415/(F65-0)&lt;0.005,"*",100*226415/(F65-0)),0)</f>
        <v>1.986097536542563</v>
      </c>
    </row>
    <row r="31" spans="1:7" x14ac:dyDescent="0.2">
      <c r="A31" s="11" t="s">
        <v>132</v>
      </c>
      <c r="B31" s="17">
        <v>175197</v>
      </c>
      <c r="C31" s="17">
        <v>33520</v>
      </c>
      <c r="D31" s="17">
        <v>154283</v>
      </c>
      <c r="E31" s="17">
        <v>187803</v>
      </c>
      <c r="F31" s="17">
        <v>125202</v>
      </c>
      <c r="G31" s="18">
        <f>IF(AND(F65&lt;&gt;0,125202&lt;&gt;0),IF(100*125202/(F65-0)&lt;0.005,"*",100*125202/(F65-0)),0)</f>
        <v>1.0982637359282821</v>
      </c>
    </row>
    <row r="32" spans="1:7" x14ac:dyDescent="0.2">
      <c r="A32" s="11" t="s">
        <v>133</v>
      </c>
      <c r="B32" s="17">
        <v>103532</v>
      </c>
      <c r="C32" s="17">
        <v>19809</v>
      </c>
      <c r="D32" s="17">
        <v>91173</v>
      </c>
      <c r="E32" s="17">
        <v>110982</v>
      </c>
      <c r="F32" s="17">
        <v>73988</v>
      </c>
      <c r="G32" s="18">
        <f>IF(AND(F65&lt;&gt;0,73988&lt;&gt;0),IF(100*73988/(F65-0)&lt;0.005,"*",100*73988/(F65-0)),0)</f>
        <v>0.64901788544800987</v>
      </c>
    </row>
    <row r="33" spans="1:7" x14ac:dyDescent="0.2">
      <c r="A33" s="11" t="s">
        <v>134</v>
      </c>
      <c r="B33" s="17">
        <v>72490</v>
      </c>
      <c r="C33" s="17">
        <v>13870</v>
      </c>
      <c r="D33" s="17">
        <v>63837</v>
      </c>
      <c r="E33" s="17">
        <v>77707</v>
      </c>
      <c r="F33" s="17">
        <v>51804</v>
      </c>
      <c r="G33" s="18">
        <f>IF(AND(F65&lt;&gt;0,51804&lt;&gt;0),IF(100*51804/(F65-0)&lt;0.005,"*",100*51804/(F65-0)),0)</f>
        <v>0.45442129180067992</v>
      </c>
    </row>
    <row r="34" spans="1:7" x14ac:dyDescent="0.2">
      <c r="A34" s="11" t="s">
        <v>135</v>
      </c>
      <c r="B34" s="17">
        <v>69978</v>
      </c>
      <c r="C34" s="17">
        <v>13389</v>
      </c>
      <c r="D34" s="17">
        <v>61624</v>
      </c>
      <c r="E34" s="17">
        <v>75013</v>
      </c>
      <c r="F34" s="17">
        <v>50009</v>
      </c>
      <c r="G34" s="18">
        <f>IF(AND(F65&lt;&gt;0,50009&lt;&gt;0),IF(100*50009/(F65-0)&lt;0.005,"*",100*50009/(F65-0)),0)</f>
        <v>0.43867566947842251</v>
      </c>
    </row>
    <row r="35" spans="1:7" x14ac:dyDescent="0.2">
      <c r="A35" s="11" t="s">
        <v>136</v>
      </c>
      <c r="B35" s="17">
        <v>38242</v>
      </c>
      <c r="C35" s="17">
        <v>7317</v>
      </c>
      <c r="D35" s="17">
        <v>33677</v>
      </c>
      <c r="E35" s="17">
        <v>40994</v>
      </c>
      <c r="F35" s="17">
        <v>27329</v>
      </c>
      <c r="G35" s="18">
        <f>IF(AND(F65&lt;&gt;0,27329&lt;&gt;0),IF(100*27329/(F65-0)&lt;0.005,"*",100*27329/(F65-0)),0)</f>
        <v>0.23972819634817352</v>
      </c>
    </row>
    <row r="36" spans="1:7" x14ac:dyDescent="0.2">
      <c r="A36" s="11" t="s">
        <v>137</v>
      </c>
      <c r="B36" s="17">
        <v>462889</v>
      </c>
      <c r="C36" s="17">
        <v>88565</v>
      </c>
      <c r="D36" s="17">
        <v>407632</v>
      </c>
      <c r="E36" s="17">
        <v>496197</v>
      </c>
      <c r="F36" s="17">
        <v>330798</v>
      </c>
      <c r="G36" s="18">
        <f>IF(AND(F65&lt;&gt;0,330798&lt;&gt;0),IF(100*330798/(F65-0)&lt;0.005,"*",100*330798/(F65-0)),0)</f>
        <v>2.9017383693359839</v>
      </c>
    </row>
    <row r="37" spans="1:7" x14ac:dyDescent="0.2">
      <c r="A37" s="11" t="s">
        <v>138</v>
      </c>
      <c r="B37" s="17">
        <v>136040</v>
      </c>
      <c r="C37" s="17">
        <v>26029</v>
      </c>
      <c r="D37" s="17">
        <v>119800</v>
      </c>
      <c r="E37" s="17">
        <v>145829</v>
      </c>
      <c r="F37" s="17">
        <v>97219</v>
      </c>
      <c r="G37" s="18">
        <f>IF(AND(F65&lt;&gt;0,97219&lt;&gt;0),IF(100*97219/(F65-0)&lt;0.005,"*",100*97219/(F65-0)),0)</f>
        <v>0.8527986944554532</v>
      </c>
    </row>
    <row r="38" spans="1:7" x14ac:dyDescent="0.2">
      <c r="A38" s="11" t="s">
        <v>139</v>
      </c>
      <c r="B38" s="17">
        <v>1233546</v>
      </c>
      <c r="C38" s="17">
        <v>236014</v>
      </c>
      <c r="D38" s="17">
        <v>1086293</v>
      </c>
      <c r="E38" s="17">
        <v>1322307</v>
      </c>
      <c r="F38" s="17">
        <v>881538</v>
      </c>
      <c r="G38" s="18">
        <f>IF(AND(F65&lt;&gt;0,881538&lt;&gt;0),IF(100*881538/(F65-0)&lt;0.005,"*",100*881538/(F65-0)),0)</f>
        <v>7.732793543575549</v>
      </c>
    </row>
    <row r="39" spans="1:7" x14ac:dyDescent="0.2">
      <c r="A39" s="11" t="s">
        <v>140</v>
      </c>
      <c r="B39" s="17">
        <v>479489</v>
      </c>
      <c r="C39" s="17">
        <v>91741</v>
      </c>
      <c r="D39" s="17">
        <v>422251</v>
      </c>
      <c r="E39" s="17">
        <v>513992</v>
      </c>
      <c r="F39" s="17">
        <v>342661</v>
      </c>
      <c r="G39" s="18">
        <f>IF(AND(F65&lt;&gt;0,342661&lt;&gt;0),IF(100*342661/(F65-0)&lt;0.005,"*",100*342661/(F65-0)),0)</f>
        <v>3.0057998276139442</v>
      </c>
    </row>
    <row r="40" spans="1:7" x14ac:dyDescent="0.2">
      <c r="A40" s="11" t="s">
        <v>141</v>
      </c>
      <c r="B40" s="17">
        <v>21887</v>
      </c>
      <c r="C40" s="17">
        <v>4188</v>
      </c>
      <c r="D40" s="17">
        <v>19274</v>
      </c>
      <c r="E40" s="17">
        <v>23462</v>
      </c>
      <c r="F40" s="17">
        <v>15641</v>
      </c>
      <c r="G40" s="18">
        <f>IF(AND(F65&lt;&gt;0,15641&lt;&gt;0),IF(100*15641/(F65-0)&lt;0.005,"*",100*15641/(F65-0)),0)</f>
        <v>0.13720182659745259</v>
      </c>
    </row>
    <row r="41" spans="1:7" x14ac:dyDescent="0.2">
      <c r="A41" s="11" t="s">
        <v>142</v>
      </c>
      <c r="B41" s="17">
        <v>409310</v>
      </c>
      <c r="C41" s="17">
        <v>78313</v>
      </c>
      <c r="D41" s="17">
        <v>360449</v>
      </c>
      <c r="E41" s="17">
        <v>438762</v>
      </c>
      <c r="F41" s="17">
        <v>292508</v>
      </c>
      <c r="G41" s="18">
        <f>IF(AND(F65&lt;&gt;0,292508&lt;&gt;0),IF(100*292508/(F65-0)&lt;0.005,"*",100*292508/(F65-0)),0)</f>
        <v>2.5658609995759645</v>
      </c>
    </row>
    <row r="42" spans="1:7" x14ac:dyDescent="0.2">
      <c r="A42" s="11" t="s">
        <v>143</v>
      </c>
      <c r="B42" s="17">
        <v>248980</v>
      </c>
      <c r="C42" s="17">
        <v>47637</v>
      </c>
      <c r="D42" s="17">
        <v>219258</v>
      </c>
      <c r="E42" s="17">
        <v>266895</v>
      </c>
      <c r="F42" s="17">
        <v>177930</v>
      </c>
      <c r="G42" s="18">
        <f>IF(AND(F65&lt;&gt;0,177930&lt;&gt;0),IF(100*177930/(F65-0)&lt;0.005,"*",100*177930/(F65-0)),0)</f>
        <v>1.560790295152787</v>
      </c>
    </row>
    <row r="43" spans="1:7" x14ac:dyDescent="0.2">
      <c r="A43" s="11" t="s">
        <v>144</v>
      </c>
      <c r="B43" s="17">
        <v>249774</v>
      </c>
      <c r="C43" s="17">
        <v>47789</v>
      </c>
      <c r="D43" s="17">
        <v>219957</v>
      </c>
      <c r="E43" s="17">
        <v>267746</v>
      </c>
      <c r="F43" s="17">
        <v>178498</v>
      </c>
      <c r="G43" s="18">
        <f>IF(AND(F65&lt;&gt;0,178498&lt;&gt;0),IF(100*178498/(F65-0)&lt;0.005,"*",100*178498/(F65-0)),0)</f>
        <v>1.5657727539154844</v>
      </c>
    </row>
    <row r="44" spans="1:7" x14ac:dyDescent="0.2">
      <c r="A44" s="11" t="s">
        <v>145</v>
      </c>
      <c r="B44" s="17">
        <v>527349</v>
      </c>
      <c r="C44" s="17">
        <v>100898</v>
      </c>
      <c r="D44" s="17">
        <v>464397</v>
      </c>
      <c r="E44" s="17">
        <v>565295</v>
      </c>
      <c r="F44" s="17">
        <v>376863</v>
      </c>
      <c r="G44" s="18">
        <f>IF(AND(F65&lt;&gt;0,376863&lt;&gt;0),IF(100*376863/(F65-0)&lt;0.005,"*",100*376863/(F65-0)),0)</f>
        <v>3.3058175293776468</v>
      </c>
    </row>
    <row r="45" spans="1:7" x14ac:dyDescent="0.2">
      <c r="A45" s="11" t="s">
        <v>146</v>
      </c>
      <c r="B45" s="17">
        <v>72828</v>
      </c>
      <c r="C45" s="17">
        <v>13934</v>
      </c>
      <c r="D45" s="17">
        <v>64134</v>
      </c>
      <c r="E45" s="17">
        <v>78068</v>
      </c>
      <c r="F45" s="17">
        <v>52046</v>
      </c>
      <c r="G45" s="18">
        <f>IF(AND(F65&lt;&gt;0,52046&lt;&gt;0),IF(100*52046/(F65-0)&lt;0.005,"*",100*52046/(F65-0)),0)</f>
        <v>0.45654409993549122</v>
      </c>
    </row>
    <row r="46" spans="1:7" x14ac:dyDescent="0.2">
      <c r="A46" s="11" t="s">
        <v>147</v>
      </c>
      <c r="B46" s="17">
        <v>154192</v>
      </c>
      <c r="C46" s="17">
        <v>29502</v>
      </c>
      <c r="D46" s="17">
        <v>135785</v>
      </c>
      <c r="E46" s="17">
        <v>165287</v>
      </c>
      <c r="F46" s="17">
        <v>110191</v>
      </c>
      <c r="G46" s="18">
        <f>IF(AND(F65&lt;&gt;0,110191&lt;&gt;0),IF(100*110191/(F65-0)&lt;0.005,"*",100*110191/(F65-0)),0)</f>
        <v>0.96658822802889199</v>
      </c>
    </row>
    <row r="47" spans="1:7" x14ac:dyDescent="0.2">
      <c r="A47" s="11" t="s">
        <v>148</v>
      </c>
      <c r="B47" s="17">
        <v>26939</v>
      </c>
      <c r="C47" s="17">
        <v>5154</v>
      </c>
      <c r="D47" s="17">
        <v>23723</v>
      </c>
      <c r="E47" s="17">
        <v>28877</v>
      </c>
      <c r="F47" s="17">
        <v>19252</v>
      </c>
      <c r="G47" s="18">
        <f>IF(AND(F65&lt;&gt;0,19252&lt;&gt;0),IF(100*19252/(F65-0)&lt;0.005,"*",100*19252/(F65-0)),0)</f>
        <v>0.16887728186523607</v>
      </c>
    </row>
    <row r="48" spans="1:7" x14ac:dyDescent="0.2">
      <c r="A48" s="11" t="s">
        <v>149</v>
      </c>
      <c r="B48" s="17">
        <v>464951</v>
      </c>
      <c r="C48" s="17">
        <v>88959</v>
      </c>
      <c r="D48" s="17">
        <v>409448</v>
      </c>
      <c r="E48" s="17">
        <v>498407</v>
      </c>
      <c r="F48" s="17">
        <v>332271</v>
      </c>
      <c r="G48" s="18">
        <f>IF(AND(F65&lt;&gt;0,332271&lt;&gt;0),IF(100*332271/(F65-0)&lt;0.005,"*",100*332271/(F65-0)),0)</f>
        <v>2.9146594287681205</v>
      </c>
    </row>
    <row r="49" spans="1:7" x14ac:dyDescent="0.2">
      <c r="A49" s="11" t="s">
        <v>150</v>
      </c>
      <c r="B49" s="17">
        <v>1382120</v>
      </c>
      <c r="C49" s="17">
        <v>264441</v>
      </c>
      <c r="D49" s="17">
        <v>1217131</v>
      </c>
      <c r="E49" s="17">
        <v>1481572</v>
      </c>
      <c r="F49" s="17">
        <v>987714</v>
      </c>
      <c r="G49" s="18">
        <f>IF(AND(F65&lt;&gt;0,987714&lt;&gt;0),IF(100*987714/(F65-0)&lt;0.005,"*",100*987714/(F65-0)),0)</f>
        <v>8.6641624548223444</v>
      </c>
    </row>
    <row r="50" spans="1:7" x14ac:dyDescent="0.2">
      <c r="A50" s="11" t="s">
        <v>151</v>
      </c>
      <c r="B50" s="17">
        <v>131563</v>
      </c>
      <c r="C50" s="17">
        <v>25172</v>
      </c>
      <c r="D50" s="17">
        <v>115858</v>
      </c>
      <c r="E50" s="17">
        <v>141030</v>
      </c>
      <c r="F50" s="17">
        <v>94020</v>
      </c>
      <c r="G50" s="18">
        <f>IF(AND(F65&lt;&gt;0,94020&lt;&gt;0),IF(100*94020/(F65-0)&lt;0.005,"*",100*94020/(F65-0)),0)</f>
        <v>0.8247372761775138</v>
      </c>
    </row>
    <row r="51" spans="1:7" x14ac:dyDescent="0.2">
      <c r="A51" s="11" t="s">
        <v>152</v>
      </c>
      <c r="B51" s="17">
        <v>30244</v>
      </c>
      <c r="C51" s="17">
        <v>5787</v>
      </c>
      <c r="D51" s="17">
        <v>26634</v>
      </c>
      <c r="E51" s="17">
        <v>32421</v>
      </c>
      <c r="F51" s="17">
        <v>21613</v>
      </c>
      <c r="G51" s="18">
        <f>IF(AND(F65&lt;&gt;0,21613&lt;&gt;0),IF(100*21613/(F65-0)&lt;0.005,"*",100*21613/(F65-0)),0)</f>
        <v>0.18958781908130828</v>
      </c>
    </row>
    <row r="52" spans="1:7" x14ac:dyDescent="0.2">
      <c r="A52" s="11" t="s">
        <v>153</v>
      </c>
      <c r="B52" s="17">
        <v>291082</v>
      </c>
      <c r="C52" s="17">
        <v>55693</v>
      </c>
      <c r="D52" s="17">
        <v>256334</v>
      </c>
      <c r="E52" s="17">
        <v>312027</v>
      </c>
      <c r="F52" s="17">
        <v>208018</v>
      </c>
      <c r="G52" s="18">
        <f>IF(AND(F65&lt;&gt;0,208018&lt;&gt;0),IF(100*208018/(F65-0)&lt;0.005,"*",100*208018/(F65-0)),0)</f>
        <v>1.8247202586246976</v>
      </c>
    </row>
    <row r="53" spans="1:7" x14ac:dyDescent="0.2">
      <c r="A53" s="11" t="s">
        <v>154</v>
      </c>
      <c r="B53" s="17">
        <v>242501</v>
      </c>
      <c r="C53" s="17">
        <v>46398</v>
      </c>
      <c r="D53" s="17">
        <v>213553</v>
      </c>
      <c r="E53" s="17">
        <v>259951</v>
      </c>
      <c r="F53" s="17">
        <v>173300</v>
      </c>
      <c r="G53" s="18">
        <f>IF(AND(F65&lt;&gt;0,173300&lt;&gt;0),IF(100*173300/(F65-0)&lt;0.005,"*",100*173300/(F65-0)),0)</f>
        <v>1.5201762386892483</v>
      </c>
    </row>
    <row r="54" spans="1:7" x14ac:dyDescent="0.2">
      <c r="A54" s="11" t="s">
        <v>155</v>
      </c>
      <c r="B54" s="17">
        <v>61048</v>
      </c>
      <c r="C54" s="17">
        <v>11680</v>
      </c>
      <c r="D54" s="17">
        <v>53760</v>
      </c>
      <c r="E54" s="17">
        <v>65440</v>
      </c>
      <c r="F54" s="17">
        <v>43627</v>
      </c>
      <c r="G54" s="18">
        <f>IF(AND(F65&lt;&gt;0,43627&lt;&gt;0),IF(100*43627/(F65-0)&lt;0.005,"*",100*43627/(F65-0)),0)</f>
        <v>0.38269318387360557</v>
      </c>
    </row>
    <row r="55" spans="1:7" x14ac:dyDescent="0.2">
      <c r="A55" s="11" t="s">
        <v>156</v>
      </c>
      <c r="B55" s="17">
        <v>224461</v>
      </c>
      <c r="C55" s="17">
        <v>42946</v>
      </c>
      <c r="D55" s="17">
        <v>197666</v>
      </c>
      <c r="E55" s="17">
        <v>240612</v>
      </c>
      <c r="F55" s="17">
        <v>160408</v>
      </c>
      <c r="G55" s="18">
        <f>IF(AND(F65&lt;&gt;0,160408&lt;&gt;0),IF(100*160408/(F65-0)&lt;0.005,"*",100*160408/(F65-0)),0)</f>
        <v>1.4070884598711193</v>
      </c>
    </row>
    <row r="56" spans="1:7" x14ac:dyDescent="0.2">
      <c r="A56" s="11" t="s">
        <v>157</v>
      </c>
      <c r="B56" s="17">
        <v>12647</v>
      </c>
      <c r="C56" s="17">
        <v>2420</v>
      </c>
      <c r="D56" s="17">
        <v>11137</v>
      </c>
      <c r="E56" s="17">
        <v>13557</v>
      </c>
      <c r="F56" s="17">
        <v>9038</v>
      </c>
      <c r="G56" s="18">
        <f>IF(AND(F65&lt;&gt;0,9038&lt;&gt;0),IF(100*9038/(F65-0)&lt;0.005,"*",100*9038/(F65-0)),0)</f>
        <v>7.9280743481093055E-2</v>
      </c>
    </row>
    <row r="57" spans="1:7" x14ac:dyDescent="0.2">
      <c r="A57" s="11" t="s">
        <v>158</v>
      </c>
      <c r="B57" s="17">
        <v>2902</v>
      </c>
      <c r="C57" s="17">
        <v>555</v>
      </c>
      <c r="D57" s="17">
        <v>2556</v>
      </c>
      <c r="E57" s="17">
        <v>3111</v>
      </c>
      <c r="F57" s="17">
        <v>2074</v>
      </c>
      <c r="G57" s="18">
        <f>IF(AND(F65&lt;&gt;0,2074&lt;&gt;0),IF(100*2074/(F65-0)&lt;0.005,"*",100*2074/(F65-0)),0)</f>
        <v>1.8192992031399315E-2</v>
      </c>
    </row>
    <row r="58" spans="1:7" x14ac:dyDescent="0.2">
      <c r="A58" s="11" t="s">
        <v>159</v>
      </c>
      <c r="B58" s="17">
        <v>26577</v>
      </c>
      <c r="C58" s="17">
        <v>5085</v>
      </c>
      <c r="D58" s="17">
        <v>23404</v>
      </c>
      <c r="E58" s="17">
        <v>28489</v>
      </c>
      <c r="F58" s="17">
        <v>18993</v>
      </c>
      <c r="G58" s="18">
        <f>IF(AND(F65&lt;&gt;0,18993&lt;&gt;0),IF(100*18993/(F65-0)&lt;0.005,"*",100*18993/(F65-0)),0)</f>
        <v>0.16660535084492151</v>
      </c>
    </row>
    <row r="59" spans="1:7" x14ac:dyDescent="0.2">
      <c r="A59" s="11" t="s">
        <v>160</v>
      </c>
      <c r="B59" s="17">
        <v>6706</v>
      </c>
      <c r="C59" s="17">
        <v>1283</v>
      </c>
      <c r="D59" s="17">
        <v>5905</v>
      </c>
      <c r="E59" s="17">
        <v>7188</v>
      </c>
      <c r="F59" s="17">
        <v>4792</v>
      </c>
      <c r="G59" s="18">
        <f>IF(AND(F65&lt;&gt;0,4792&lt;&gt;0),IF(100*4792/(F65-0)&lt;0.005,"*",100*4792/(F65-0)),0)</f>
        <v>4.2035109843040271E-2</v>
      </c>
    </row>
    <row r="60" spans="1:7" x14ac:dyDescent="0.2">
      <c r="A60" s="11" t="s">
        <v>161</v>
      </c>
      <c r="B60" s="17">
        <v>192487</v>
      </c>
      <c r="C60" s="17">
        <v>36829</v>
      </c>
      <c r="D60" s="17">
        <v>169509</v>
      </c>
      <c r="E60" s="17">
        <v>206338</v>
      </c>
      <c r="F60" s="17">
        <v>137558</v>
      </c>
      <c r="G60" s="18">
        <f>IF(AND(F65&lt;&gt;0,137558&lt;&gt;0),IF(100*137558/(F65-0)&lt;0.005,"*",100*137558/(F65-0)),0)</f>
        <v>1.2066497578858375</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6878</v>
      </c>
      <c r="C62" s="17">
        <v>1316</v>
      </c>
      <c r="D62" s="17">
        <v>6057</v>
      </c>
      <c r="E62" s="17">
        <v>7373</v>
      </c>
      <c r="F62" s="17">
        <v>4915</v>
      </c>
      <c r="G62" s="18">
        <f>IF(AND(F65&lt;&gt;0,4915&lt;&gt;0),IF(100*4915/(F65-0)&lt;0.005,"*",100*4915/(F65-0)),0)</f>
        <v>4.3114057779328654E-2</v>
      </c>
    </row>
    <row r="63" spans="1:7" x14ac:dyDescent="0.2">
      <c r="A63" s="11" t="s">
        <v>164</v>
      </c>
      <c r="B63" s="17">
        <v>0</v>
      </c>
      <c r="C63" s="17">
        <v>0</v>
      </c>
      <c r="D63" s="17">
        <v>0</v>
      </c>
      <c r="E63" s="17">
        <v>0</v>
      </c>
      <c r="F63" s="17">
        <v>0</v>
      </c>
      <c r="G63" s="18">
        <f>IF(AND(F65&lt;&gt;0,0&lt;&gt;0),IF(100*0/(F65-0)&lt;0.005,"*",100*0/(F65-0)),0)</f>
        <v>0</v>
      </c>
    </row>
    <row r="64" spans="1:7" x14ac:dyDescent="0.2">
      <c r="A64" s="11" t="s">
        <v>165</v>
      </c>
      <c r="B64" s="17">
        <v>0</v>
      </c>
      <c r="C64" s="17">
        <v>0</v>
      </c>
      <c r="D64" s="17">
        <v>0</v>
      </c>
      <c r="E64" s="17">
        <v>0</v>
      </c>
      <c r="F64" s="17">
        <v>0</v>
      </c>
      <c r="G64" s="18">
        <v>0</v>
      </c>
    </row>
    <row r="65" spans="1:7" ht="15" customHeight="1" x14ac:dyDescent="0.2">
      <c r="A65" s="19" t="s">
        <v>106</v>
      </c>
      <c r="B65" s="20">
        <f>319667+32562+206434+194356+2668626+254391+77405+35252+42469+686575+404760+52297+82890+547395+191065+145720+124659+268215+358807+35722+295919+671336+264782+115190+316825+175197+103532+72490+69978+38242+462889+136040+1233546+479489+21887+409310+248980+249774+527349+72828+154192+26939+464951+1382120+131563+30244+291082+242501+61048+224461+12647+2902+26577+6706+192487+0+6878+0+0+0</f>
        <v>15952148</v>
      </c>
      <c r="C65" s="20">
        <f>61162+6230+39497+37186+510588+48673+14810+6745+8126+131362+77443+10006+15859+104733+36556+27881+23851+51318+68651+6835+56618+128447+50661+22039+60618+33520+19809+13870+13389+7317+88565+26029+236014+91741+4188+78313+47637+47789+100898+13934+29502+5154+88959+264441+25172+5787+55693+46398+11680+42946+2420+555+5085+1283+36829+0+1316+0+0+0</f>
        <v>3052128</v>
      </c>
      <c r="D65" s="20">
        <f>281507+28675+181791+171155+2350062+224023+68165+31044+37399+604616+356442+46054+72995+482050+168257+128325+109778+236197+315975+31458+260594+591196+233174+101439+279004+154283+91173+63837+61624+33677+407632+119800+1086293+422251+19274+360449+219258+219957+464397+64134+135785+23723+409448+1217131+115858+26634+256334+213553+53760+197666+11137+2556+23404+5905+169509+0+6057+0+0+0</f>
        <v>14047874</v>
      </c>
      <c r="E65" s="20">
        <f>SUM(C65:D65)</f>
        <v>17100002</v>
      </c>
      <c r="F65" s="20">
        <f>228446+23270+147525+138894+1907099+181797+55316+25192+30350+490652+289257+37373+59236+391189+136542+104137+89086+191676+256417+25528+211475+479762+189223+82319+226415+125202+73988+51804+50009+27329+330798+97219+881538+342661+15641+292508+177930+178498+376863+52046+110191+19252+332271+987714+94020+21613+208018+173300+43627+160408+9038+2074+18993+4792+137558+0+4915+0+0+0</f>
        <v>11399994</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RowHeight="12.75" x14ac:dyDescent="0.2"/>
  <cols>
    <col min="1" max="1" width="30.7109375" customWidth="1"/>
    <col min="2" max="7" width="11.7109375" customWidth="1"/>
    <col min="8" max="8" width="13" customWidth="1"/>
    <col min="10" max="12" width="12.5703125" bestFit="1" customWidth="1"/>
  </cols>
  <sheetData>
    <row r="1" spans="1:7" ht="38.25" customHeight="1" x14ac:dyDescent="0.2">
      <c r="A1" s="12" t="s">
        <v>187</v>
      </c>
      <c r="B1" s="10"/>
      <c r="C1" s="10"/>
      <c r="D1" s="10"/>
      <c r="E1" s="10"/>
      <c r="F1" s="10"/>
      <c r="G1" s="12" t="s">
        <v>190</v>
      </c>
    </row>
    <row r="2" spans="1:7" x14ac:dyDescent="0.2">
      <c r="A2" s="13" t="s">
        <v>191</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4068128</v>
      </c>
      <c r="C6" s="17">
        <v>0</v>
      </c>
      <c r="D6" s="17">
        <v>4391003</v>
      </c>
      <c r="E6" s="17">
        <v>4391003</v>
      </c>
      <c r="F6" s="17">
        <v>4599057</v>
      </c>
      <c r="G6" s="18">
        <v>0.99991720075059698</v>
      </c>
    </row>
    <row r="7" spans="1:7" x14ac:dyDescent="0.2">
      <c r="A7" s="11" t="s">
        <v>108</v>
      </c>
      <c r="B7" s="17">
        <v>1437360</v>
      </c>
      <c r="C7" s="17">
        <v>0</v>
      </c>
      <c r="D7" s="17">
        <v>1660904</v>
      </c>
      <c r="E7" s="17">
        <v>1660904</v>
      </c>
      <c r="F7" s="17">
        <v>1704574</v>
      </c>
      <c r="G7" s="18">
        <v>0.37060485715924985</v>
      </c>
    </row>
    <row r="8" spans="1:7" x14ac:dyDescent="0.2">
      <c r="A8" s="11" t="s">
        <v>109</v>
      </c>
      <c r="B8" s="17">
        <v>9168872</v>
      </c>
      <c r="C8" s="17">
        <v>0</v>
      </c>
      <c r="D8" s="17">
        <v>9936912</v>
      </c>
      <c r="E8" s="17">
        <v>9936912</v>
      </c>
      <c r="F8" s="17">
        <v>10417087</v>
      </c>
      <c r="G8" s="18">
        <v>2.2648609210573891</v>
      </c>
    </row>
    <row r="9" spans="1:7" x14ac:dyDescent="0.2">
      <c r="A9" s="11" t="s">
        <v>110</v>
      </c>
      <c r="B9" s="17">
        <v>3994695</v>
      </c>
      <c r="C9" s="17">
        <v>0</v>
      </c>
      <c r="D9" s="17">
        <v>5537079</v>
      </c>
      <c r="E9" s="17">
        <v>5537079</v>
      </c>
      <c r="F9" s="17">
        <v>5592450</v>
      </c>
      <c r="G9" s="18">
        <v>1.2158985960247233</v>
      </c>
    </row>
    <row r="10" spans="1:7" ht="15" x14ac:dyDescent="0.2">
      <c r="A10" s="11" t="s">
        <v>111</v>
      </c>
      <c r="B10" s="23" t="s">
        <v>415</v>
      </c>
      <c r="C10" s="17">
        <v>0</v>
      </c>
      <c r="D10" s="17">
        <v>67138967</v>
      </c>
      <c r="E10" s="17">
        <v>67138967</v>
      </c>
      <c r="F10" s="17">
        <v>64719285</v>
      </c>
      <c r="G10" s="18">
        <v>14.071129427571805</v>
      </c>
    </row>
    <row r="11" spans="1:7" ht="15" x14ac:dyDescent="0.2">
      <c r="A11" s="11" t="s">
        <v>112</v>
      </c>
      <c r="B11" s="23" t="s">
        <v>416</v>
      </c>
      <c r="C11" s="17">
        <v>0</v>
      </c>
      <c r="D11" s="17">
        <v>5481265</v>
      </c>
      <c r="E11" s="17">
        <v>5481265</v>
      </c>
      <c r="F11" s="17">
        <v>5562128</v>
      </c>
      <c r="G11" s="18">
        <v>1.2093060512136544</v>
      </c>
    </row>
    <row r="12" spans="1:7" x14ac:dyDescent="0.2">
      <c r="A12" s="11" t="s">
        <v>113</v>
      </c>
      <c r="B12" s="17">
        <v>4581203</v>
      </c>
      <c r="C12" s="17">
        <v>0</v>
      </c>
      <c r="D12" s="17">
        <v>5143255</v>
      </c>
      <c r="E12" s="17">
        <v>5143255</v>
      </c>
      <c r="F12" s="17">
        <v>5154927</v>
      </c>
      <c r="G12" s="18">
        <v>1.1207732750243522</v>
      </c>
    </row>
    <row r="13" spans="1:7" x14ac:dyDescent="0.2">
      <c r="A13" s="11" t="s">
        <v>114</v>
      </c>
      <c r="B13" s="17">
        <v>1400746</v>
      </c>
      <c r="C13" s="17">
        <v>0</v>
      </c>
      <c r="D13" s="17">
        <v>1498157</v>
      </c>
      <c r="E13" s="17">
        <v>1498157</v>
      </c>
      <c r="F13" s="17">
        <v>1552379</v>
      </c>
      <c r="G13" s="18">
        <v>0.33751494364692824</v>
      </c>
    </row>
    <row r="14" spans="1:7" x14ac:dyDescent="0.2">
      <c r="A14" s="11" t="s">
        <v>115</v>
      </c>
      <c r="B14" s="17">
        <v>2175606</v>
      </c>
      <c r="C14" s="17">
        <v>0</v>
      </c>
      <c r="D14" s="17">
        <v>2334974</v>
      </c>
      <c r="E14" s="17">
        <v>2334974</v>
      </c>
      <c r="F14" s="17">
        <v>2434888</v>
      </c>
      <c r="G14" s="18">
        <v>0.5293881752501044</v>
      </c>
    </row>
    <row r="15" spans="1:7" x14ac:dyDescent="0.2">
      <c r="A15" s="11" t="s">
        <v>116</v>
      </c>
      <c r="B15" s="17">
        <v>14628664</v>
      </c>
      <c r="C15" s="17">
        <v>0</v>
      </c>
      <c r="D15" s="17">
        <v>16082299</v>
      </c>
      <c r="E15" s="17">
        <v>16082299</v>
      </c>
      <c r="F15" s="17">
        <v>15397518</v>
      </c>
      <c r="G15" s="18">
        <v>3.3476956465351333</v>
      </c>
    </row>
    <row r="16" spans="1:7" x14ac:dyDescent="0.2">
      <c r="A16" s="11" t="s">
        <v>117</v>
      </c>
      <c r="B16" s="17">
        <v>7251905</v>
      </c>
      <c r="C16" s="17">
        <v>0</v>
      </c>
      <c r="D16" s="17">
        <v>7984219</v>
      </c>
      <c r="E16" s="17">
        <v>7984219</v>
      </c>
      <c r="F16" s="17">
        <v>8294427</v>
      </c>
      <c r="G16" s="18">
        <v>1.803356694137553</v>
      </c>
    </row>
    <row r="17" spans="1:7" x14ac:dyDescent="0.2">
      <c r="A17" s="11" t="s">
        <v>118</v>
      </c>
      <c r="B17" s="17">
        <v>1609715</v>
      </c>
      <c r="C17" s="17">
        <v>0</v>
      </c>
      <c r="D17" s="17">
        <v>1591533</v>
      </c>
      <c r="E17" s="17">
        <v>1591533</v>
      </c>
      <c r="F17" s="17">
        <v>1514318</v>
      </c>
      <c r="G17" s="18">
        <v>0.32923980189987695</v>
      </c>
    </row>
    <row r="18" spans="1:7" x14ac:dyDescent="0.2">
      <c r="A18" s="11" t="s">
        <v>119</v>
      </c>
      <c r="B18" s="17">
        <v>1372954</v>
      </c>
      <c r="C18" s="17">
        <v>0</v>
      </c>
      <c r="D18" s="17">
        <v>1546165</v>
      </c>
      <c r="E18" s="17">
        <v>1546165</v>
      </c>
      <c r="F18" s="17">
        <v>1657080</v>
      </c>
      <c r="G18" s="18">
        <v>0.36027881259566891</v>
      </c>
    </row>
    <row r="19" spans="1:7" x14ac:dyDescent="0.2">
      <c r="A19" s="11" t="s">
        <v>120</v>
      </c>
      <c r="B19" s="17">
        <v>9950384</v>
      </c>
      <c r="C19" s="17">
        <v>0</v>
      </c>
      <c r="D19" s="17">
        <v>12651389</v>
      </c>
      <c r="E19" s="17">
        <v>12651389</v>
      </c>
      <c r="F19" s="17">
        <v>10980454</v>
      </c>
      <c r="G19" s="18">
        <v>2.3873469771413345</v>
      </c>
    </row>
    <row r="20" spans="1:7" x14ac:dyDescent="0.2">
      <c r="A20" s="11" t="s">
        <v>121</v>
      </c>
      <c r="B20" s="17">
        <v>8370623</v>
      </c>
      <c r="C20" s="17">
        <v>0</v>
      </c>
      <c r="D20" s="17">
        <v>9638767</v>
      </c>
      <c r="E20" s="17">
        <v>9638767</v>
      </c>
      <c r="F20" s="17">
        <v>9592409</v>
      </c>
      <c r="G20" s="18">
        <v>2.0855611825934823</v>
      </c>
    </row>
    <row r="21" spans="1:7" x14ac:dyDescent="0.2">
      <c r="A21" s="11" t="s">
        <v>122</v>
      </c>
      <c r="B21" s="17">
        <v>2673861</v>
      </c>
      <c r="C21" s="17">
        <v>0</v>
      </c>
      <c r="D21" s="17">
        <v>2972410</v>
      </c>
      <c r="E21" s="17">
        <v>2972410</v>
      </c>
      <c r="F21" s="17">
        <v>3061275</v>
      </c>
      <c r="G21" s="18">
        <v>0.66557590582760418</v>
      </c>
    </row>
    <row r="22" spans="1:7" x14ac:dyDescent="0.2">
      <c r="A22" s="11" t="s">
        <v>123</v>
      </c>
      <c r="B22" s="17">
        <v>1955720</v>
      </c>
      <c r="C22" s="17">
        <v>0</v>
      </c>
      <c r="D22" s="17">
        <v>2037617</v>
      </c>
      <c r="E22" s="17">
        <v>2037617</v>
      </c>
      <c r="F22" s="17">
        <v>2269341</v>
      </c>
      <c r="G22" s="18">
        <v>0.49339529826844075</v>
      </c>
    </row>
    <row r="23" spans="1:7" x14ac:dyDescent="0.2">
      <c r="A23" s="11" t="s">
        <v>124</v>
      </c>
      <c r="B23" s="17">
        <v>7584554</v>
      </c>
      <c r="C23" s="17">
        <v>0</v>
      </c>
      <c r="D23" s="17">
        <v>7909569</v>
      </c>
      <c r="E23" s="17">
        <v>7909569</v>
      </c>
      <c r="F23" s="17">
        <v>5560974</v>
      </c>
      <c r="G23" s="18">
        <v>1.2090551509857022</v>
      </c>
    </row>
    <row r="24" spans="1:7" x14ac:dyDescent="0.2">
      <c r="A24" s="11" t="s">
        <v>125</v>
      </c>
      <c r="B24" s="17">
        <v>7939911</v>
      </c>
      <c r="C24" s="17">
        <v>0</v>
      </c>
      <c r="D24" s="17">
        <v>8984463</v>
      </c>
      <c r="E24" s="17">
        <v>8984463</v>
      </c>
      <c r="F24" s="17">
        <v>9336121</v>
      </c>
      <c r="G24" s="18">
        <v>2.0298395902005266</v>
      </c>
    </row>
    <row r="25" spans="1:7" x14ac:dyDescent="0.2">
      <c r="A25" s="11" t="s">
        <v>126</v>
      </c>
      <c r="B25" s="17">
        <v>1777811</v>
      </c>
      <c r="C25" s="17">
        <v>0</v>
      </c>
      <c r="D25" s="17">
        <v>1811222</v>
      </c>
      <c r="E25" s="17">
        <v>1811222</v>
      </c>
      <c r="F25" s="17">
        <v>1787753</v>
      </c>
      <c r="G25" s="18">
        <v>0.38868945859846527</v>
      </c>
    </row>
    <row r="26" spans="1:7" x14ac:dyDescent="0.2">
      <c r="A26" s="11" t="s">
        <v>127</v>
      </c>
      <c r="B26" s="17">
        <v>7065053</v>
      </c>
      <c r="C26" s="17">
        <v>0</v>
      </c>
      <c r="D26" s="17">
        <v>7280782</v>
      </c>
      <c r="E26" s="17">
        <v>7280782</v>
      </c>
      <c r="F26" s="17">
        <v>7295261</v>
      </c>
      <c r="G26" s="18">
        <v>1.5861201454700389</v>
      </c>
    </row>
    <row r="27" spans="1:7" x14ac:dyDescent="0.2">
      <c r="A27" s="11" t="s">
        <v>128</v>
      </c>
      <c r="B27" s="17">
        <v>9978555</v>
      </c>
      <c r="C27" s="17">
        <v>0</v>
      </c>
      <c r="D27" s="17">
        <v>10941833</v>
      </c>
      <c r="E27" s="17">
        <v>10941833</v>
      </c>
      <c r="F27" s="17">
        <v>10017259</v>
      </c>
      <c r="G27" s="18">
        <v>2.1779311668617556</v>
      </c>
    </row>
    <row r="28" spans="1:7" x14ac:dyDescent="0.2">
      <c r="A28" s="11" t="s">
        <v>129</v>
      </c>
      <c r="B28" s="17">
        <v>12568266</v>
      </c>
      <c r="C28" s="17">
        <v>0</v>
      </c>
      <c r="D28" s="17">
        <v>13312472</v>
      </c>
      <c r="E28" s="17">
        <v>13312472</v>
      </c>
      <c r="F28" s="17">
        <v>13871596</v>
      </c>
      <c r="G28" s="18">
        <v>3.0159329276117206</v>
      </c>
    </row>
    <row r="29" spans="1:7" x14ac:dyDescent="0.2">
      <c r="A29" s="11" t="s">
        <v>130</v>
      </c>
      <c r="B29" s="17">
        <v>6930018</v>
      </c>
      <c r="C29" s="17">
        <v>0</v>
      </c>
      <c r="D29" s="17">
        <v>7955963</v>
      </c>
      <c r="E29" s="17">
        <v>7955963</v>
      </c>
      <c r="F29" s="17">
        <v>8369470</v>
      </c>
      <c r="G29" s="18">
        <v>1.8196723837443411</v>
      </c>
    </row>
    <row r="30" spans="1:7" x14ac:dyDescent="0.2">
      <c r="A30" s="11" t="s">
        <v>131</v>
      </c>
      <c r="B30" s="17">
        <v>4227454</v>
      </c>
      <c r="C30" s="17">
        <v>0</v>
      </c>
      <c r="D30" s="17">
        <v>4403344</v>
      </c>
      <c r="E30" s="17">
        <v>4403344</v>
      </c>
      <c r="F30" s="17">
        <v>4643092</v>
      </c>
      <c r="G30" s="18">
        <v>1.0094911968839462</v>
      </c>
    </row>
    <row r="31" spans="1:7" x14ac:dyDescent="0.2">
      <c r="A31" s="11" t="s">
        <v>132</v>
      </c>
      <c r="B31" s="17">
        <v>6678010</v>
      </c>
      <c r="C31" s="17">
        <v>0</v>
      </c>
      <c r="D31" s="17">
        <v>7766641</v>
      </c>
      <c r="E31" s="17">
        <v>7766641</v>
      </c>
      <c r="F31" s="17">
        <v>7847240</v>
      </c>
      <c r="G31" s="18">
        <v>1.7061302467914867</v>
      </c>
    </row>
    <row r="32" spans="1:7" x14ac:dyDescent="0.2">
      <c r="A32" s="11" t="s">
        <v>133</v>
      </c>
      <c r="B32" s="17">
        <v>1482546</v>
      </c>
      <c r="C32" s="17">
        <v>0</v>
      </c>
      <c r="D32" s="17">
        <v>1569406</v>
      </c>
      <c r="E32" s="17">
        <v>1569406</v>
      </c>
      <c r="F32" s="17">
        <v>1629704</v>
      </c>
      <c r="G32" s="18">
        <v>0.35432678084486685</v>
      </c>
    </row>
    <row r="33" spans="1:7" x14ac:dyDescent="0.2">
      <c r="A33" s="11" t="s">
        <v>134</v>
      </c>
      <c r="B33" s="17">
        <v>1145760</v>
      </c>
      <c r="C33" s="17">
        <v>0</v>
      </c>
      <c r="D33" s="17">
        <v>1263492</v>
      </c>
      <c r="E33" s="17">
        <v>1263492</v>
      </c>
      <c r="F33" s="17">
        <v>1272138</v>
      </c>
      <c r="G33" s="18">
        <v>0.27658554088989612</v>
      </c>
    </row>
    <row r="34" spans="1:7" ht="15" x14ac:dyDescent="0.2">
      <c r="A34" s="11" t="s">
        <v>135</v>
      </c>
      <c r="B34" s="23" t="s">
        <v>417</v>
      </c>
      <c r="C34" s="17">
        <v>0</v>
      </c>
      <c r="D34" s="17">
        <v>2908779</v>
      </c>
      <c r="E34" s="17">
        <v>2908779</v>
      </c>
      <c r="F34" s="17">
        <v>3052796</v>
      </c>
      <c r="G34" s="18">
        <v>0.66373241966399188</v>
      </c>
    </row>
    <row r="35" spans="1:7" x14ac:dyDescent="0.2">
      <c r="A35" s="11" t="s">
        <v>136</v>
      </c>
      <c r="B35" s="17">
        <v>1297338</v>
      </c>
      <c r="C35" s="17">
        <v>0</v>
      </c>
      <c r="D35" s="17">
        <v>1323354</v>
      </c>
      <c r="E35" s="17">
        <v>1323354</v>
      </c>
      <c r="F35" s="17">
        <v>1391204</v>
      </c>
      <c r="G35" s="18">
        <v>0.30247261761553151</v>
      </c>
    </row>
    <row r="36" spans="1:7" x14ac:dyDescent="0.2">
      <c r="A36" s="11" t="s">
        <v>137</v>
      </c>
      <c r="B36" s="17">
        <v>9399266</v>
      </c>
      <c r="C36" s="17">
        <v>0</v>
      </c>
      <c r="D36" s="17">
        <v>9999183</v>
      </c>
      <c r="E36" s="17">
        <v>9999183</v>
      </c>
      <c r="F36" s="17">
        <v>10711468</v>
      </c>
      <c r="G36" s="18">
        <v>2.3288646125694017</v>
      </c>
    </row>
    <row r="37" spans="1:7" x14ac:dyDescent="0.2">
      <c r="A37" s="11" t="s">
        <v>138</v>
      </c>
      <c r="B37" s="17">
        <v>3858468</v>
      </c>
      <c r="C37" s="17">
        <v>0</v>
      </c>
      <c r="D37" s="17">
        <v>4313744</v>
      </c>
      <c r="E37" s="17">
        <v>4313744</v>
      </c>
      <c r="F37" s="17">
        <v>4440315</v>
      </c>
      <c r="G37" s="18">
        <v>0.96540385240950199</v>
      </c>
    </row>
    <row r="38" spans="1:7" x14ac:dyDescent="0.2">
      <c r="A38" s="11" t="s">
        <v>139</v>
      </c>
      <c r="B38" s="17">
        <v>38531701</v>
      </c>
      <c r="C38" s="17">
        <v>0</v>
      </c>
      <c r="D38" s="17">
        <v>45163703</v>
      </c>
      <c r="E38" s="17">
        <v>45163703</v>
      </c>
      <c r="F38" s="17">
        <v>46524750</v>
      </c>
      <c r="G38" s="18">
        <v>10.11531228806717</v>
      </c>
    </row>
    <row r="39" spans="1:7" x14ac:dyDescent="0.2">
      <c r="A39" s="11" t="s">
        <v>140</v>
      </c>
      <c r="B39" s="17">
        <v>9411458</v>
      </c>
      <c r="C39" s="17">
        <v>0</v>
      </c>
      <c r="D39" s="17">
        <v>9800796</v>
      </c>
      <c r="E39" s="17">
        <v>9800796</v>
      </c>
      <c r="F39" s="17">
        <v>9560745</v>
      </c>
      <c r="G39" s="18">
        <v>2.0786768629939281</v>
      </c>
    </row>
    <row r="40" spans="1:7" ht="15" x14ac:dyDescent="0.2">
      <c r="A40" s="11" t="s">
        <v>141</v>
      </c>
      <c r="B40" s="23" t="s">
        <v>418</v>
      </c>
      <c r="C40" s="17">
        <v>0</v>
      </c>
      <c r="D40" s="17">
        <v>941778</v>
      </c>
      <c r="E40" s="17">
        <v>941778</v>
      </c>
      <c r="F40" s="17">
        <v>876301</v>
      </c>
      <c r="G40" s="18">
        <v>0.19052350143408722</v>
      </c>
    </row>
    <row r="41" spans="1:7" x14ac:dyDescent="0.2">
      <c r="A41" s="11" t="s">
        <v>142</v>
      </c>
      <c r="B41" s="17">
        <v>16478815</v>
      </c>
      <c r="C41" s="17">
        <v>0</v>
      </c>
      <c r="D41" s="17">
        <v>16764297</v>
      </c>
      <c r="E41" s="17">
        <v>16764297</v>
      </c>
      <c r="F41" s="17">
        <v>17637034</v>
      </c>
      <c r="G41" s="18">
        <v>3.8346064566764673</v>
      </c>
    </row>
    <row r="42" spans="1:7" x14ac:dyDescent="0.2">
      <c r="A42" s="11" t="s">
        <v>143</v>
      </c>
      <c r="B42" s="17">
        <v>2983507</v>
      </c>
      <c r="C42" s="17">
        <v>0</v>
      </c>
      <c r="D42" s="17">
        <v>3013817</v>
      </c>
      <c r="E42" s="17">
        <v>3013817</v>
      </c>
      <c r="F42" s="17">
        <v>3222874</v>
      </c>
      <c r="G42" s="18">
        <v>0.70071041703807524</v>
      </c>
    </row>
    <row r="43" spans="1:7" x14ac:dyDescent="0.2">
      <c r="A43" s="11" t="s">
        <v>144</v>
      </c>
      <c r="B43" s="17">
        <v>6514146</v>
      </c>
      <c r="C43" s="17">
        <v>0</v>
      </c>
      <c r="D43" s="17">
        <v>7681487</v>
      </c>
      <c r="E43" s="17">
        <v>7681487</v>
      </c>
      <c r="F43" s="17">
        <v>7770054</v>
      </c>
      <c r="G43" s="18">
        <v>1.6893486306781975</v>
      </c>
    </row>
    <row r="44" spans="1:7" x14ac:dyDescent="0.2">
      <c r="A44" s="11" t="s">
        <v>145</v>
      </c>
      <c r="B44" s="17">
        <v>17742316</v>
      </c>
      <c r="C44" s="17">
        <v>0</v>
      </c>
      <c r="D44" s="17">
        <v>19499035</v>
      </c>
      <c r="E44" s="17">
        <v>19499035</v>
      </c>
      <c r="F44" s="17">
        <v>21194279</v>
      </c>
      <c r="G44" s="18">
        <v>4.60801510605482</v>
      </c>
    </row>
    <row r="45" spans="1:7" x14ac:dyDescent="0.2">
      <c r="A45" s="11" t="s">
        <v>146</v>
      </c>
      <c r="B45" s="17">
        <v>1664801</v>
      </c>
      <c r="C45" s="17">
        <v>0</v>
      </c>
      <c r="D45" s="17">
        <v>1807675</v>
      </c>
      <c r="E45" s="17">
        <v>1807675</v>
      </c>
      <c r="F45" s="17">
        <v>1853704</v>
      </c>
      <c r="G45" s="18">
        <v>0.40302838488415876</v>
      </c>
    </row>
    <row r="46" spans="1:7" x14ac:dyDescent="0.2">
      <c r="A46" s="11" t="s">
        <v>147</v>
      </c>
      <c r="B46" s="17">
        <v>4466748</v>
      </c>
      <c r="C46" s="17">
        <v>0</v>
      </c>
      <c r="D46" s="17">
        <v>4595111</v>
      </c>
      <c r="E46" s="17">
        <v>4595111</v>
      </c>
      <c r="F46" s="17">
        <v>4556651</v>
      </c>
      <c r="G46" s="18">
        <v>0.99069737833590854</v>
      </c>
    </row>
    <row r="47" spans="1:7" x14ac:dyDescent="0.2">
      <c r="A47" s="11" t="s">
        <v>148</v>
      </c>
      <c r="B47" s="17">
        <v>531828</v>
      </c>
      <c r="C47" s="17">
        <v>0</v>
      </c>
      <c r="D47" s="17">
        <v>583350</v>
      </c>
      <c r="E47" s="17">
        <v>583350</v>
      </c>
      <c r="F47" s="17">
        <v>640309</v>
      </c>
      <c r="G47" s="18">
        <v>0.13921462223569178</v>
      </c>
    </row>
    <row r="48" spans="1:7" x14ac:dyDescent="0.2">
      <c r="A48" s="11" t="s">
        <v>149</v>
      </c>
      <c r="B48" s="17">
        <v>6298350</v>
      </c>
      <c r="C48" s="17">
        <v>0</v>
      </c>
      <c r="D48" s="17">
        <v>7027764</v>
      </c>
      <c r="E48" s="17">
        <v>7027764</v>
      </c>
      <c r="F48" s="17">
        <v>7365781</v>
      </c>
      <c r="G48" s="18">
        <v>1.6014524540274089</v>
      </c>
    </row>
    <row r="49" spans="1:12" x14ac:dyDescent="0.2">
      <c r="A49" s="11" t="s">
        <v>150</v>
      </c>
      <c r="B49" s="17">
        <v>21078511</v>
      </c>
      <c r="C49" s="17">
        <v>0</v>
      </c>
      <c r="D49" s="17">
        <v>22678795</v>
      </c>
      <c r="E49" s="17">
        <v>22678795</v>
      </c>
      <c r="F49" s="17">
        <v>20809152</v>
      </c>
      <c r="G49" s="18">
        <v>4.5242816120421399</v>
      </c>
    </row>
    <row r="50" spans="1:12" x14ac:dyDescent="0.2">
      <c r="A50" s="11" t="s">
        <v>151</v>
      </c>
      <c r="B50" s="17">
        <v>1809543</v>
      </c>
      <c r="C50" s="17">
        <v>0</v>
      </c>
      <c r="D50" s="17">
        <v>1863444</v>
      </c>
      <c r="E50" s="17">
        <v>1863444</v>
      </c>
      <c r="F50" s="17">
        <v>1856317</v>
      </c>
      <c r="G50" s="18">
        <v>0.40359649779199214</v>
      </c>
    </row>
    <row r="51" spans="1:12" x14ac:dyDescent="0.2">
      <c r="A51" s="11" t="s">
        <v>152</v>
      </c>
      <c r="B51" s="17">
        <v>1040439</v>
      </c>
      <c r="C51" s="17">
        <v>0</v>
      </c>
      <c r="D51" s="17">
        <v>1121635</v>
      </c>
      <c r="E51" s="17">
        <v>1121635</v>
      </c>
      <c r="F51" s="17">
        <v>999434</v>
      </c>
      <c r="G51" s="18">
        <v>0.21729481665806102</v>
      </c>
    </row>
    <row r="52" spans="1:12" x14ac:dyDescent="0.2">
      <c r="A52" s="11" t="s">
        <v>153</v>
      </c>
      <c r="B52" s="17">
        <v>4811942</v>
      </c>
      <c r="C52" s="17">
        <v>0</v>
      </c>
      <c r="D52" s="17">
        <v>5378931</v>
      </c>
      <c r="E52" s="17">
        <v>5378931</v>
      </c>
      <c r="F52" s="17">
        <v>5427984</v>
      </c>
      <c r="G52" s="18">
        <v>1.1801407477661243</v>
      </c>
    </row>
    <row r="53" spans="1:12" x14ac:dyDescent="0.2">
      <c r="A53" s="11" t="s">
        <v>154</v>
      </c>
      <c r="B53" s="17">
        <v>7997273</v>
      </c>
      <c r="C53" s="17">
        <v>0</v>
      </c>
      <c r="D53" s="17">
        <v>8169896</v>
      </c>
      <c r="E53" s="17">
        <v>8169896</v>
      </c>
      <c r="F53" s="17">
        <v>8414997</v>
      </c>
      <c r="G53" s="18">
        <v>1.8295707673474522</v>
      </c>
    </row>
    <row r="54" spans="1:12" x14ac:dyDescent="0.2">
      <c r="A54" s="11" t="s">
        <v>155</v>
      </c>
      <c r="B54" s="17">
        <v>3277360</v>
      </c>
      <c r="C54" s="17">
        <v>0</v>
      </c>
      <c r="D54" s="17">
        <v>3408420</v>
      </c>
      <c r="E54" s="17">
        <v>3408420</v>
      </c>
      <c r="F54" s="17">
        <v>3507449</v>
      </c>
      <c r="G54" s="18">
        <v>0.76258210886611766</v>
      </c>
    </row>
    <row r="55" spans="1:12" x14ac:dyDescent="0.2">
      <c r="A55" s="11" t="s">
        <v>156</v>
      </c>
      <c r="B55" s="17">
        <v>5033472</v>
      </c>
      <c r="C55" s="17">
        <v>0</v>
      </c>
      <c r="D55" s="17">
        <v>5295825</v>
      </c>
      <c r="E55" s="17">
        <v>5295825</v>
      </c>
      <c r="F55" s="17">
        <v>5657814</v>
      </c>
      <c r="G55" s="18">
        <v>1.2301098980176888</v>
      </c>
    </row>
    <row r="56" spans="1:12" x14ac:dyDescent="0.2">
      <c r="A56" s="11" t="s">
        <v>157</v>
      </c>
      <c r="B56" s="17">
        <v>343345</v>
      </c>
      <c r="C56" s="17">
        <v>0</v>
      </c>
      <c r="D56" s="17">
        <v>362027</v>
      </c>
      <c r="E56" s="17">
        <v>362027</v>
      </c>
      <c r="F56" s="17">
        <v>371141</v>
      </c>
      <c r="G56" s="18">
        <v>8.0692687610476946E-2</v>
      </c>
    </row>
    <row r="57" spans="1:12" x14ac:dyDescent="0.2">
      <c r="A57" s="11" t="s">
        <v>158</v>
      </c>
      <c r="B57" s="17">
        <v>19402</v>
      </c>
      <c r="C57" s="17">
        <v>0</v>
      </c>
      <c r="D57" s="17">
        <v>18812</v>
      </c>
      <c r="E57" s="17">
        <v>18812</v>
      </c>
      <c r="F57" s="17">
        <v>18812</v>
      </c>
      <c r="G57" s="18" t="s">
        <v>423</v>
      </c>
    </row>
    <row r="58" spans="1:12" x14ac:dyDescent="0.2">
      <c r="A58" s="11" t="s">
        <v>159</v>
      </c>
      <c r="B58" s="17">
        <v>53786</v>
      </c>
      <c r="C58" s="17">
        <v>0</v>
      </c>
      <c r="D58" s="17">
        <v>54038</v>
      </c>
      <c r="E58" s="17">
        <v>54038</v>
      </c>
      <c r="F58" s="17">
        <v>54037</v>
      </c>
      <c r="G58" s="18">
        <v>1.1748609720853646E-2</v>
      </c>
      <c r="H58" s="49"/>
      <c r="I58" s="49"/>
      <c r="J58" s="49"/>
      <c r="K58" s="49"/>
      <c r="L58" s="49"/>
    </row>
    <row r="59" spans="1:12" ht="15" x14ac:dyDescent="0.2">
      <c r="A59" s="11" t="s">
        <v>160</v>
      </c>
      <c r="B59" s="17">
        <v>17018</v>
      </c>
      <c r="C59" s="17">
        <v>0</v>
      </c>
      <c r="D59" s="23" t="s">
        <v>420</v>
      </c>
      <c r="E59" s="17">
        <v>19967</v>
      </c>
      <c r="F59" s="23" t="s">
        <v>546</v>
      </c>
      <c r="G59" s="18" t="s">
        <v>423</v>
      </c>
      <c r="H59" s="49"/>
      <c r="I59" s="49"/>
      <c r="J59" s="49"/>
      <c r="K59" s="49"/>
      <c r="L59" s="49"/>
    </row>
    <row r="60" spans="1:12" ht="15" x14ac:dyDescent="0.2">
      <c r="A60" s="11" t="s">
        <v>161</v>
      </c>
      <c r="B60" s="17">
        <v>1631538</v>
      </c>
      <c r="C60" s="17">
        <v>0</v>
      </c>
      <c r="D60" s="23" t="s">
        <v>421</v>
      </c>
      <c r="E60" s="17">
        <v>824100</v>
      </c>
      <c r="F60" s="23" t="s">
        <v>422</v>
      </c>
      <c r="G60" s="18">
        <v>7.8096500763007379E-2</v>
      </c>
      <c r="H60" s="49"/>
      <c r="I60" s="49"/>
      <c r="J60" s="49"/>
      <c r="K60" s="49"/>
      <c r="L60" s="49"/>
    </row>
    <row r="61" spans="1:12" x14ac:dyDescent="0.2">
      <c r="A61" s="11" t="s">
        <v>162</v>
      </c>
      <c r="B61" s="17">
        <v>0</v>
      </c>
      <c r="C61" s="17">
        <v>0</v>
      </c>
      <c r="D61" s="17">
        <v>0</v>
      </c>
      <c r="E61" s="17">
        <v>0</v>
      </c>
      <c r="F61" s="17">
        <v>0</v>
      </c>
      <c r="G61" s="18">
        <v>0</v>
      </c>
      <c r="H61" s="49"/>
      <c r="I61" s="49"/>
      <c r="J61" s="49"/>
      <c r="K61" s="49"/>
      <c r="L61" s="49"/>
    </row>
    <row r="62" spans="1:12" x14ac:dyDescent="0.2">
      <c r="A62" s="11" t="s">
        <v>163</v>
      </c>
      <c r="B62" s="17">
        <v>46751</v>
      </c>
      <c r="C62" s="17">
        <v>0</v>
      </c>
      <c r="D62" s="17">
        <v>108668</v>
      </c>
      <c r="E62" s="17">
        <v>108668</v>
      </c>
      <c r="F62" s="17">
        <v>83396</v>
      </c>
      <c r="G62" s="18">
        <v>1.8131781118128517E-2</v>
      </c>
      <c r="H62" s="49"/>
      <c r="I62" s="49"/>
      <c r="J62" s="49"/>
      <c r="K62" s="49"/>
      <c r="L62" s="49"/>
    </row>
    <row r="63" spans="1:12" x14ac:dyDescent="0.2">
      <c r="A63" s="11" t="s">
        <v>164</v>
      </c>
      <c r="B63" s="17">
        <v>0</v>
      </c>
      <c r="C63" s="17">
        <v>0</v>
      </c>
      <c r="D63" s="17">
        <v>0</v>
      </c>
      <c r="E63" s="17">
        <v>0</v>
      </c>
      <c r="F63" s="17">
        <v>0</v>
      </c>
      <c r="G63" s="18">
        <v>0</v>
      </c>
      <c r="H63" s="48"/>
      <c r="I63" s="49"/>
      <c r="J63" s="48"/>
      <c r="K63" s="49"/>
      <c r="L63" s="49"/>
    </row>
    <row r="64" spans="1:12" x14ac:dyDescent="0.2">
      <c r="A64" s="11" t="s">
        <v>165</v>
      </c>
      <c r="B64" s="17">
        <v>38520953</v>
      </c>
      <c r="C64" s="17">
        <v>0</v>
      </c>
      <c r="D64" s="17">
        <v>-26243465</v>
      </c>
      <c r="E64" s="17">
        <v>-26243465</v>
      </c>
      <c r="F64" s="17">
        <v>-7784391</v>
      </c>
      <c r="G64" s="18">
        <v>0</v>
      </c>
      <c r="H64" s="50"/>
      <c r="I64" s="50"/>
      <c r="J64" s="50"/>
      <c r="K64" s="50"/>
      <c r="L64" s="50"/>
    </row>
    <row r="65" spans="1:12" x14ac:dyDescent="0.2">
      <c r="A65" s="11" t="s">
        <v>192</v>
      </c>
      <c r="B65" s="17">
        <v>268037</v>
      </c>
      <c r="C65" s="17">
        <v>0</v>
      </c>
      <c r="D65" s="17">
        <v>297400</v>
      </c>
      <c r="E65" s="17">
        <v>297400</v>
      </c>
      <c r="F65" s="17">
        <v>308315</v>
      </c>
      <c r="G65" s="18">
        <v>6.703319218470663E-2</v>
      </c>
      <c r="H65" s="51"/>
      <c r="I65" s="49"/>
      <c r="J65" s="51"/>
      <c r="K65" s="49"/>
      <c r="L65" s="51"/>
    </row>
    <row r="66" spans="1:12" x14ac:dyDescent="0.2">
      <c r="A66" s="11" t="s">
        <v>193</v>
      </c>
      <c r="B66" s="17">
        <v>254028</v>
      </c>
      <c r="C66" s="17">
        <v>0</v>
      </c>
      <c r="D66" s="17">
        <v>270000</v>
      </c>
      <c r="E66" s="17">
        <v>270000</v>
      </c>
      <c r="F66" s="17">
        <v>280000</v>
      </c>
      <c r="G66" s="18">
        <v>6.0877005049114884E-2</v>
      </c>
      <c r="H66" s="49"/>
      <c r="I66" s="49"/>
      <c r="J66" s="49"/>
      <c r="K66" s="49"/>
      <c r="L66" s="49"/>
    </row>
    <row r="67" spans="1:12" x14ac:dyDescent="0.2">
      <c r="A67" s="11" t="s">
        <v>194</v>
      </c>
      <c r="B67" s="17">
        <v>4427184</v>
      </c>
      <c r="C67" s="17">
        <v>0</v>
      </c>
      <c r="D67" s="17">
        <v>4400908</v>
      </c>
      <c r="E67" s="17">
        <v>4400908</v>
      </c>
      <c r="F67" s="17">
        <v>4726461</v>
      </c>
      <c r="G67" s="18">
        <v>1.0276171077194449</v>
      </c>
      <c r="H67" s="48"/>
      <c r="I67" s="49"/>
      <c r="J67" s="49"/>
      <c r="K67" s="49"/>
      <c r="L67" s="49"/>
    </row>
    <row r="68" spans="1:12" x14ac:dyDescent="0.2">
      <c r="A68" s="11" t="s">
        <v>195</v>
      </c>
      <c r="B68" s="17">
        <v>0</v>
      </c>
      <c r="C68" s="17">
        <v>0</v>
      </c>
      <c r="D68" s="17">
        <v>36673844</v>
      </c>
      <c r="E68" s="17">
        <v>36673844</v>
      </c>
      <c r="F68" s="17">
        <v>39062837</v>
      </c>
      <c r="G68" s="18">
        <v>8.4929590188633988</v>
      </c>
      <c r="H68" s="51"/>
      <c r="I68" s="49"/>
      <c r="J68" s="51"/>
      <c r="K68" s="49"/>
      <c r="L68" s="51"/>
    </row>
    <row r="69" spans="1:12" x14ac:dyDescent="0.2">
      <c r="A69" s="11" t="s">
        <v>196</v>
      </c>
      <c r="B69" s="17">
        <v>941000</v>
      </c>
      <c r="C69" s="17">
        <v>0</v>
      </c>
      <c r="D69" s="17">
        <v>1000000</v>
      </c>
      <c r="E69" s="17">
        <v>1000000</v>
      </c>
      <c r="F69" s="17">
        <v>1054000</v>
      </c>
      <c r="G69" s="18">
        <v>0.22915844043488245</v>
      </c>
      <c r="H69" s="48"/>
      <c r="I69" s="49"/>
      <c r="J69" s="48"/>
      <c r="K69" s="49"/>
      <c r="L69" s="49"/>
    </row>
    <row r="70" spans="1:12" ht="15" customHeight="1" x14ac:dyDescent="0.2">
      <c r="A70" s="19" t="s">
        <v>106</v>
      </c>
      <c r="B70" s="20" t="s">
        <v>544</v>
      </c>
      <c r="C70" s="20">
        <f>0+0+0+0+0+0+0+0+0+0+0+0+0+0+0+0+0+0+0+0+0+0+0+0+0+0+0+0+0+0+0+0+0+0+0+0+0+0+0+0+0+0+0+0+0+0+0+0+0+0+0+0+0+0+0+0+0+0+0+0+0+0+0+0+0</f>
        <v>0</v>
      </c>
      <c r="D70" s="20" t="s">
        <v>547</v>
      </c>
      <c r="E70" s="20" t="s">
        <v>547</v>
      </c>
      <c r="F70" s="20" t="s">
        <v>545</v>
      </c>
      <c r="G70" s="21" t="s">
        <v>197</v>
      </c>
      <c r="H70" s="51"/>
      <c r="I70" s="49"/>
      <c r="J70" s="51"/>
      <c r="K70" s="49"/>
      <c r="L70" s="51"/>
    </row>
    <row r="71" spans="1:12" ht="15" customHeight="1" x14ac:dyDescent="0.2">
      <c r="A71" s="72" t="s">
        <v>167</v>
      </c>
      <c r="B71" s="72"/>
      <c r="C71" s="72"/>
      <c r="D71" s="72"/>
      <c r="E71" s="72"/>
      <c r="F71" s="72"/>
      <c r="G71" s="72"/>
      <c r="H71" s="49"/>
      <c r="I71" s="49"/>
      <c r="J71" s="49"/>
      <c r="K71" s="49"/>
      <c r="L71" s="49"/>
    </row>
    <row r="72" spans="1:12" ht="27.6" customHeight="1" x14ac:dyDescent="0.2">
      <c r="A72" s="65" t="s">
        <v>543</v>
      </c>
      <c r="B72" s="65"/>
      <c r="C72" s="65"/>
      <c r="D72" s="65"/>
      <c r="E72" s="65"/>
      <c r="F72" s="65"/>
      <c r="G72" s="65"/>
    </row>
    <row r="73" spans="1:12" ht="53.45" customHeight="1" x14ac:dyDescent="0.2">
      <c r="A73" s="65" t="s">
        <v>419</v>
      </c>
      <c r="B73" s="65"/>
      <c r="C73" s="65"/>
      <c r="D73" s="65"/>
      <c r="E73" s="65"/>
      <c r="F73" s="65"/>
      <c r="G73" s="65"/>
    </row>
    <row r="74" spans="1:12" ht="15" customHeight="1" x14ac:dyDescent="0.2">
      <c r="A74" s="73" t="s">
        <v>533</v>
      </c>
      <c r="B74" s="73"/>
      <c r="C74" s="73"/>
      <c r="D74" s="73"/>
      <c r="E74" s="73"/>
      <c r="F74" s="73"/>
      <c r="G74" s="73"/>
    </row>
    <row r="75" spans="1:12" ht="15" customHeight="1" x14ac:dyDescent="0.2">
      <c r="A75" s="65" t="s">
        <v>198</v>
      </c>
      <c r="B75" s="65"/>
      <c r="C75" s="65"/>
      <c r="D75" s="65"/>
      <c r="E75" s="65"/>
      <c r="F75" s="65"/>
      <c r="G75" s="65"/>
    </row>
  </sheetData>
  <mergeCells count="9">
    <mergeCell ref="A72:G72"/>
    <mergeCell ref="A73:G73"/>
    <mergeCell ref="A75:G75"/>
    <mergeCell ref="A4:A5"/>
    <mergeCell ref="B4:B5"/>
    <mergeCell ref="F4:F5"/>
    <mergeCell ref="G4:G5"/>
    <mergeCell ref="A71:G71"/>
    <mergeCell ref="A74:G74"/>
  </mergeCells>
  <pageMargins left="0.7" right="0.7" top="0.75" bottom="0.75" header="0.3" footer="0.3"/>
  <pageSetup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200</v>
      </c>
    </row>
    <row r="2" spans="1:7" x14ac:dyDescent="0.2">
      <c r="A2" s="13" t="s">
        <v>201</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93007</v>
      </c>
      <c r="C6" s="17">
        <v>0</v>
      </c>
      <c r="D6" s="17">
        <v>93007</v>
      </c>
      <c r="E6" s="17">
        <v>93007</v>
      </c>
      <c r="F6" s="17">
        <v>83984</v>
      </c>
      <c r="G6" s="18">
        <f>IF(AND(F65&lt;&gt;0,83984&lt;&gt;0),IF(100*83984/(F65-0)&lt;0.005,"*",100*83984/(F65-0)),0)</f>
        <v>0.56327720235054746</v>
      </c>
    </row>
    <row r="7" spans="1:7" x14ac:dyDescent="0.2">
      <c r="A7" s="11" t="s">
        <v>108</v>
      </c>
      <c r="B7" s="17">
        <v>44397</v>
      </c>
      <c r="C7" s="17">
        <v>0</v>
      </c>
      <c r="D7" s="17">
        <v>44397</v>
      </c>
      <c r="E7" s="17">
        <v>44397</v>
      </c>
      <c r="F7" s="17">
        <v>40090</v>
      </c>
      <c r="G7" s="18">
        <f>IF(AND(F65&lt;&gt;0,40090&lt;&gt;0),IF(100*40090/(F65-0)&lt;0.005,"*",100*40090/(F65-0)),0)</f>
        <v>0.26888196611537257</v>
      </c>
    </row>
    <row r="8" spans="1:7" x14ac:dyDescent="0.2">
      <c r="A8" s="11" t="s">
        <v>109</v>
      </c>
      <c r="B8" s="17">
        <v>199407</v>
      </c>
      <c r="C8" s="17">
        <v>0</v>
      </c>
      <c r="D8" s="17">
        <v>199407</v>
      </c>
      <c r="E8" s="17">
        <v>199407</v>
      </c>
      <c r="F8" s="17">
        <v>180061</v>
      </c>
      <c r="G8" s="18">
        <f>IF(AND(F65&lt;&gt;0,180061&lt;&gt;0),IF(100*180061/(F65-0)&lt;0.005,"*",100*180061/(F65-0)),0)</f>
        <v>1.2076616537964604</v>
      </c>
    </row>
    <row r="9" spans="1:7" x14ac:dyDescent="0.2">
      <c r="A9" s="11" t="s">
        <v>110</v>
      </c>
      <c r="B9" s="17">
        <v>56546</v>
      </c>
      <c r="C9" s="17">
        <v>0</v>
      </c>
      <c r="D9" s="17">
        <v>56546</v>
      </c>
      <c r="E9" s="17">
        <v>56546</v>
      </c>
      <c r="F9" s="17">
        <v>51060</v>
      </c>
      <c r="G9" s="18">
        <f>IF(AND(F65&lt;&gt;0,51060&lt;&gt;0),IF(100*51060/(F65-0)&lt;0.005,"*",100*51060/(F65-0)),0)</f>
        <v>0.34245730081942938</v>
      </c>
    </row>
    <row r="10" spans="1:7" x14ac:dyDescent="0.2">
      <c r="A10" s="11" t="s">
        <v>111</v>
      </c>
      <c r="B10" s="17">
        <v>3638696</v>
      </c>
      <c r="C10" s="17">
        <v>0</v>
      </c>
      <c r="D10" s="17">
        <v>3637998</v>
      </c>
      <c r="E10" s="17">
        <v>3637998</v>
      </c>
      <c r="F10" s="17">
        <v>3285037</v>
      </c>
      <c r="G10" s="18">
        <f>IF(AND(F65&lt;&gt;0,3285037&lt;&gt;0),IF(100*3285037/(F65-0)&lt;0.005,"*",100*3285037/(F65-0)),0)</f>
        <v>22.032606817703794</v>
      </c>
    </row>
    <row r="11" spans="1:7" x14ac:dyDescent="0.2">
      <c r="A11" s="11" t="s">
        <v>112</v>
      </c>
      <c r="B11" s="17">
        <v>135608</v>
      </c>
      <c r="C11" s="17">
        <v>0</v>
      </c>
      <c r="D11" s="17">
        <v>135608</v>
      </c>
      <c r="E11" s="17">
        <v>135608</v>
      </c>
      <c r="F11" s="17">
        <v>122451</v>
      </c>
      <c r="G11" s="18">
        <f>IF(AND(F65&lt;&gt;0,122451&lt;&gt;0),IF(100*122451/(F65-0)&lt;0.005,"*",100*122451/(F65-0)),0)</f>
        <v>0.82127377482647757</v>
      </c>
    </row>
    <row r="12" spans="1:7" x14ac:dyDescent="0.2">
      <c r="A12" s="11" t="s">
        <v>113</v>
      </c>
      <c r="B12" s="17">
        <v>265908</v>
      </c>
      <c r="C12" s="17">
        <v>0</v>
      </c>
      <c r="D12" s="17">
        <v>265908</v>
      </c>
      <c r="E12" s="17">
        <v>265908</v>
      </c>
      <c r="F12" s="17">
        <v>240109</v>
      </c>
      <c r="G12" s="18">
        <f>IF(AND(F65&lt;&gt;0,240109&lt;&gt;0),IF(100*240109/(F65-0)&lt;0.005,"*",100*240109/(F65-0)),0)</f>
        <v>1.610401097580344</v>
      </c>
    </row>
    <row r="13" spans="1:7" x14ac:dyDescent="0.2">
      <c r="A13" s="11" t="s">
        <v>114</v>
      </c>
      <c r="B13" s="17">
        <v>32184</v>
      </c>
      <c r="C13" s="17">
        <v>0</v>
      </c>
      <c r="D13" s="17">
        <v>32184</v>
      </c>
      <c r="E13" s="17">
        <v>32184</v>
      </c>
      <c r="F13" s="17">
        <v>29062</v>
      </c>
      <c r="G13" s="18">
        <f>IF(AND(F65&lt;&gt;0,29062&lt;&gt;0),IF(100*29062/(F65-0)&lt;0.005,"*",100*29062/(F65-0)),0)</f>
        <v>0.19491762781853225</v>
      </c>
    </row>
    <row r="14" spans="1:7" x14ac:dyDescent="0.2">
      <c r="A14" s="11" t="s">
        <v>115</v>
      </c>
      <c r="B14" s="17">
        <v>92304</v>
      </c>
      <c r="C14" s="17">
        <v>0</v>
      </c>
      <c r="D14" s="17">
        <v>92304</v>
      </c>
      <c r="E14" s="17">
        <v>92304</v>
      </c>
      <c r="F14" s="17">
        <v>83349</v>
      </c>
      <c r="G14" s="18">
        <f>IF(AND(F65&lt;&gt;0,83349&lt;&gt;0),IF(100*83349/(F65-0)&lt;0.005,"*",100*83349/(F65-0)),0)</f>
        <v>0.55901828370541751</v>
      </c>
    </row>
    <row r="15" spans="1:7" x14ac:dyDescent="0.2">
      <c r="A15" s="11" t="s">
        <v>116</v>
      </c>
      <c r="B15" s="17">
        <v>560484</v>
      </c>
      <c r="C15" s="17">
        <v>0</v>
      </c>
      <c r="D15" s="17">
        <v>560484</v>
      </c>
      <c r="E15" s="17">
        <v>560484</v>
      </c>
      <c r="F15" s="17">
        <v>506106</v>
      </c>
      <c r="G15" s="18">
        <f>IF(AND(F65&lt;&gt;0,506106&lt;&gt;0),IF(100*506106/(F65-0)&lt;0.005,"*",100*506106/(F65-0)),0)</f>
        <v>3.3944319367120666</v>
      </c>
    </row>
    <row r="16" spans="1:7" x14ac:dyDescent="0.2">
      <c r="A16" s="11" t="s">
        <v>117</v>
      </c>
      <c r="B16" s="17">
        <v>329650</v>
      </c>
      <c r="C16" s="17">
        <v>0</v>
      </c>
      <c r="D16" s="17">
        <v>329650</v>
      </c>
      <c r="E16" s="17">
        <v>329650</v>
      </c>
      <c r="F16" s="17">
        <v>297668</v>
      </c>
      <c r="G16" s="18">
        <f>IF(AND(F65&lt;&gt;0,297668&lt;&gt;0),IF(100*297668/(F65-0)&lt;0.005,"*",100*297668/(F65-0)),0)</f>
        <v>1.9964469216670173</v>
      </c>
    </row>
    <row r="17" spans="1:7" x14ac:dyDescent="0.2">
      <c r="A17" s="11" t="s">
        <v>118</v>
      </c>
      <c r="B17" s="17">
        <v>98578</v>
      </c>
      <c r="C17" s="17">
        <v>0</v>
      </c>
      <c r="D17" s="17">
        <v>98578</v>
      </c>
      <c r="E17" s="17">
        <v>98578</v>
      </c>
      <c r="F17" s="17">
        <v>89014</v>
      </c>
      <c r="G17" s="18">
        <f>IF(AND(F65&lt;&gt;0,89014&lt;&gt;0),IF(100*89014/(F65-0)&lt;0.005,"*",100*89014/(F65-0)),0)</f>
        <v>0.59701320358677412</v>
      </c>
    </row>
    <row r="18" spans="1:7" x14ac:dyDescent="0.2">
      <c r="A18" s="11" t="s">
        <v>119</v>
      </c>
      <c r="B18" s="17">
        <v>30307</v>
      </c>
      <c r="C18" s="17">
        <v>0</v>
      </c>
      <c r="D18" s="17">
        <v>30307</v>
      </c>
      <c r="E18" s="17">
        <v>30307</v>
      </c>
      <c r="F18" s="17">
        <v>27367</v>
      </c>
      <c r="G18" s="18">
        <f>IF(AND(F65&lt;&gt;0,27367&lt;&gt;0),IF(100*27367/(F65-0)&lt;0.005,"*",100*27367/(F65-0)),0)</f>
        <v>0.18354933316735847</v>
      </c>
    </row>
    <row r="19" spans="1:7" x14ac:dyDescent="0.2">
      <c r="A19" s="11" t="s">
        <v>120</v>
      </c>
      <c r="B19" s="17">
        <v>583126</v>
      </c>
      <c r="C19" s="17">
        <v>0</v>
      </c>
      <c r="D19" s="17">
        <v>583126</v>
      </c>
      <c r="E19" s="17">
        <v>583126</v>
      </c>
      <c r="F19" s="17">
        <v>526551</v>
      </c>
      <c r="G19" s="18">
        <f>IF(AND(F65&lt;&gt;0,526551&lt;&gt;0),IF(100*526551/(F65-0)&lt;0.005,"*",100*526551/(F65-0)),0)</f>
        <v>3.5315557031682601</v>
      </c>
    </row>
    <row r="20" spans="1:7" x14ac:dyDescent="0.2">
      <c r="A20" s="11" t="s">
        <v>121</v>
      </c>
      <c r="B20" s="17">
        <v>206117</v>
      </c>
      <c r="C20" s="17">
        <v>0</v>
      </c>
      <c r="D20" s="17">
        <v>206117</v>
      </c>
      <c r="E20" s="17">
        <v>206117</v>
      </c>
      <c r="F20" s="17">
        <v>186119</v>
      </c>
      <c r="G20" s="18">
        <f>IF(AND(F65&lt;&gt;0,186119&lt;&gt;0),IF(100*186119/(F65-0)&lt;0.005,"*",100*186119/(F65-0)),0)</f>
        <v>1.2482924083668503</v>
      </c>
    </row>
    <row r="21" spans="1:7" x14ac:dyDescent="0.2">
      <c r="A21" s="11" t="s">
        <v>122</v>
      </c>
      <c r="B21" s="17">
        <v>130558</v>
      </c>
      <c r="C21" s="17">
        <v>0</v>
      </c>
      <c r="D21" s="17">
        <v>130558</v>
      </c>
      <c r="E21" s="17">
        <v>130558</v>
      </c>
      <c r="F21" s="17">
        <v>117891</v>
      </c>
      <c r="G21" s="18">
        <f>IF(AND(F65&lt;&gt;0,117891&lt;&gt;0),IF(100*117891/(F65-0)&lt;0.005,"*",100*117891/(F65-0)),0)</f>
        <v>0.79069004408349686</v>
      </c>
    </row>
    <row r="22" spans="1:7" x14ac:dyDescent="0.2">
      <c r="A22" s="11" t="s">
        <v>123</v>
      </c>
      <c r="B22" s="17">
        <v>101478</v>
      </c>
      <c r="C22" s="17">
        <v>0</v>
      </c>
      <c r="D22" s="17">
        <v>101478</v>
      </c>
      <c r="E22" s="17">
        <v>101478</v>
      </c>
      <c r="F22" s="17">
        <v>91632</v>
      </c>
      <c r="G22" s="18">
        <f>IF(AND(F65&lt;&gt;0,91632&lt;&gt;0),IF(100*91632/(F65-0)&lt;0.005,"*",100*91632/(F65-0)),0)</f>
        <v>0.61457202093000296</v>
      </c>
    </row>
    <row r="23" spans="1:7" x14ac:dyDescent="0.2">
      <c r="A23" s="11" t="s">
        <v>124</v>
      </c>
      <c r="B23" s="17">
        <v>180689</v>
      </c>
      <c r="C23" s="17">
        <v>0</v>
      </c>
      <c r="D23" s="17">
        <v>180689</v>
      </c>
      <c r="E23" s="17">
        <v>180689</v>
      </c>
      <c r="F23" s="17">
        <v>163159</v>
      </c>
      <c r="G23" s="18">
        <f>IF(AND(F65&lt;&gt;0,163159&lt;&gt;0),IF(100*163159/(F65-0)&lt;0.005,"*",100*163159/(F65-0)),0)</f>
        <v>1.0943006412925436</v>
      </c>
    </row>
    <row r="24" spans="1:7" x14ac:dyDescent="0.2">
      <c r="A24" s="11" t="s">
        <v>125</v>
      </c>
      <c r="B24" s="17">
        <v>163431</v>
      </c>
      <c r="C24" s="17">
        <v>0</v>
      </c>
      <c r="D24" s="17">
        <v>163431</v>
      </c>
      <c r="E24" s="17">
        <v>163431</v>
      </c>
      <c r="F24" s="17">
        <v>147575</v>
      </c>
      <c r="G24" s="18">
        <f>IF(AND(F65&lt;&gt;0,147575&lt;&gt;0),IF(100*147575/(F65-0)&lt;0.005,"*",100*147575/(F65-0)),0)</f>
        <v>0.98977940008670751</v>
      </c>
    </row>
    <row r="25" spans="1:7" x14ac:dyDescent="0.2">
      <c r="A25" s="11" t="s">
        <v>126</v>
      </c>
      <c r="B25" s="17">
        <v>77863</v>
      </c>
      <c r="C25" s="17">
        <v>0</v>
      </c>
      <c r="D25" s="17">
        <v>77863</v>
      </c>
      <c r="E25" s="17">
        <v>77863</v>
      </c>
      <c r="F25" s="17">
        <v>70309</v>
      </c>
      <c r="G25" s="18">
        <f>IF(AND(F65&lt;&gt;0,70309&lt;&gt;0),IF(100*70309/(F65-0)&lt;0.005,"*",100*70309/(F65-0)),0)</f>
        <v>0.47155954491408653</v>
      </c>
    </row>
    <row r="26" spans="1:7" x14ac:dyDescent="0.2">
      <c r="A26" s="11" t="s">
        <v>127</v>
      </c>
      <c r="B26" s="17">
        <v>228342</v>
      </c>
      <c r="C26" s="17">
        <v>0</v>
      </c>
      <c r="D26" s="17">
        <v>228342</v>
      </c>
      <c r="E26" s="17">
        <v>228342</v>
      </c>
      <c r="F26" s="17">
        <v>206188</v>
      </c>
      <c r="G26" s="18">
        <f>IF(AND(F65&lt;&gt;0,206188&lt;&gt;0),IF(100*206188/(F65-0)&lt;0.005,"*",100*206188/(F65-0)),0)</f>
        <v>1.382894358428447</v>
      </c>
    </row>
    <row r="27" spans="1:7" x14ac:dyDescent="0.2">
      <c r="A27" s="11" t="s">
        <v>128</v>
      </c>
      <c r="B27" s="17">
        <v>457855</v>
      </c>
      <c r="C27" s="17">
        <v>0</v>
      </c>
      <c r="D27" s="17">
        <v>457855</v>
      </c>
      <c r="E27" s="17">
        <v>457855</v>
      </c>
      <c r="F27" s="17">
        <v>413434</v>
      </c>
      <c r="G27" s="18">
        <f>IF(AND(F65&lt;&gt;0,413434&lt;&gt;0),IF(100*413434/(F65-0)&lt;0.005,"*",100*413434/(F65-0)),0)</f>
        <v>2.7728846789459451</v>
      </c>
    </row>
    <row r="28" spans="1:7" x14ac:dyDescent="0.2">
      <c r="A28" s="11" t="s">
        <v>129</v>
      </c>
      <c r="B28" s="17">
        <v>772795</v>
      </c>
      <c r="C28" s="17">
        <v>0</v>
      </c>
      <c r="D28" s="17">
        <v>772795</v>
      </c>
      <c r="E28" s="17">
        <v>772795</v>
      </c>
      <c r="F28" s="17">
        <v>697818</v>
      </c>
      <c r="G28" s="18">
        <f>IF(AND(F65&lt;&gt;0,697818&lt;&gt;0),IF(100*697818/(F65-0)&lt;0.005,"*",100*697818/(F65-0)),0)</f>
        <v>4.6802363639485423</v>
      </c>
    </row>
    <row r="29" spans="1:7" x14ac:dyDescent="0.2">
      <c r="A29" s="11" t="s">
        <v>130</v>
      </c>
      <c r="B29" s="17">
        <v>260597</v>
      </c>
      <c r="C29" s="17">
        <v>0</v>
      </c>
      <c r="D29" s="17">
        <v>259826</v>
      </c>
      <c r="E29" s="17">
        <v>259826</v>
      </c>
      <c r="F29" s="17">
        <v>234618</v>
      </c>
      <c r="G29" s="18">
        <f>IF(AND(F65&lt;&gt;0,234618&lt;&gt;0),IF(100*234618/(F65-0)&lt;0.005,"*",100*234618/(F65-0)),0)</f>
        <v>1.5735731884773381</v>
      </c>
    </row>
    <row r="30" spans="1:7" x14ac:dyDescent="0.2">
      <c r="A30" s="11" t="s">
        <v>131</v>
      </c>
      <c r="B30" s="17">
        <v>86481</v>
      </c>
      <c r="C30" s="17">
        <v>0</v>
      </c>
      <c r="D30" s="17">
        <v>86481</v>
      </c>
      <c r="E30" s="17">
        <v>86481</v>
      </c>
      <c r="F30" s="17">
        <v>78091</v>
      </c>
      <c r="G30" s="18">
        <f>IF(AND(F65&lt;&gt;0,78091&lt;&gt;0),IF(100*78091/(F65-0)&lt;0.005,"*",100*78091/(F65-0)),0)</f>
        <v>0.52375309593204189</v>
      </c>
    </row>
    <row r="31" spans="1:7" x14ac:dyDescent="0.2">
      <c r="A31" s="11" t="s">
        <v>132</v>
      </c>
      <c r="B31" s="17">
        <v>216335</v>
      </c>
      <c r="C31" s="17">
        <v>0</v>
      </c>
      <c r="D31" s="17">
        <v>216335</v>
      </c>
      <c r="E31" s="17">
        <v>216335</v>
      </c>
      <c r="F31" s="17">
        <v>195347</v>
      </c>
      <c r="G31" s="18">
        <f>IF(AND(F65&lt;&gt;0,195347&lt;&gt;0),IF(100*195347/(F65-0)&lt;0.005,"*",100*195347/(F65-0)),0)</f>
        <v>1.3101842213704087</v>
      </c>
    </row>
    <row r="32" spans="1:7" x14ac:dyDescent="0.2">
      <c r="A32" s="11" t="s">
        <v>133</v>
      </c>
      <c r="B32" s="17">
        <v>37889</v>
      </c>
      <c r="C32" s="17">
        <v>0</v>
      </c>
      <c r="D32" s="17">
        <v>37889</v>
      </c>
      <c r="E32" s="17">
        <v>37889</v>
      </c>
      <c r="F32" s="17">
        <v>34213</v>
      </c>
      <c r="G32" s="18">
        <f>IF(AND(F65&lt;&gt;0,34213&lt;&gt;0),IF(100*34213/(F65-0)&lt;0.005,"*",100*34213/(F65-0)),0)</f>
        <v>0.22946517103280722</v>
      </c>
    </row>
    <row r="33" spans="1:7" x14ac:dyDescent="0.2">
      <c r="A33" s="11" t="s">
        <v>134</v>
      </c>
      <c r="B33" s="17">
        <v>56642</v>
      </c>
      <c r="C33" s="17">
        <v>0</v>
      </c>
      <c r="D33" s="17">
        <v>56627</v>
      </c>
      <c r="E33" s="17">
        <v>56627</v>
      </c>
      <c r="F33" s="17">
        <v>51133</v>
      </c>
      <c r="G33" s="18">
        <f>IF(AND(F65&lt;&gt;0,51133&lt;&gt;0),IF(100*51133/(F65-0)&lt;0.005,"*",100*51133/(F65-0)),0)</f>
        <v>0.34294690878965689</v>
      </c>
    </row>
    <row r="34" spans="1:7" x14ac:dyDescent="0.2">
      <c r="A34" s="11" t="s">
        <v>135</v>
      </c>
      <c r="B34" s="17">
        <v>43762</v>
      </c>
      <c r="C34" s="17">
        <v>0</v>
      </c>
      <c r="D34" s="17">
        <v>43762</v>
      </c>
      <c r="E34" s="17">
        <v>43762</v>
      </c>
      <c r="F34" s="17">
        <v>39517</v>
      </c>
      <c r="G34" s="18">
        <f>IF(AND(F65&lt;&gt;0,39517&lt;&gt;0),IF(100*39517/(F65-0)&lt;0.005,"*",100*39517/(F65-0)),0)</f>
        <v>0.26503887889701117</v>
      </c>
    </row>
    <row r="35" spans="1:7" x14ac:dyDescent="0.2">
      <c r="A35" s="11" t="s">
        <v>136</v>
      </c>
      <c r="B35" s="17">
        <v>38394</v>
      </c>
      <c r="C35" s="17">
        <v>0</v>
      </c>
      <c r="D35" s="17">
        <v>38394</v>
      </c>
      <c r="E35" s="17">
        <v>38394</v>
      </c>
      <c r="F35" s="17">
        <v>34669</v>
      </c>
      <c r="G35" s="18">
        <f>IF(AND(F65&lt;&gt;0,34669&lt;&gt;0),IF(100*34669/(F65-0)&lt;0.005,"*",100*34669/(F65-0)),0)</f>
        <v>0.2325235441071053</v>
      </c>
    </row>
    <row r="36" spans="1:7" x14ac:dyDescent="0.2">
      <c r="A36" s="11" t="s">
        <v>137</v>
      </c>
      <c r="B36" s="17">
        <v>402702</v>
      </c>
      <c r="C36" s="17">
        <v>0</v>
      </c>
      <c r="D36" s="17">
        <v>402702</v>
      </c>
      <c r="E36" s="17">
        <v>402702</v>
      </c>
      <c r="F36" s="17">
        <v>363631</v>
      </c>
      <c r="G36" s="18">
        <f>IF(AND(F65&lt;&gt;0,363631&lt;&gt;0),IF(100*363631/(F65-0)&lt;0.005,"*",100*363631/(F65-0)),0)</f>
        <v>2.4388580249563243</v>
      </c>
    </row>
    <row r="37" spans="1:7" x14ac:dyDescent="0.2">
      <c r="A37" s="11" t="s">
        <v>138</v>
      </c>
      <c r="B37" s="17">
        <v>109920</v>
      </c>
      <c r="C37" s="17">
        <v>0</v>
      </c>
      <c r="D37" s="17">
        <v>109920</v>
      </c>
      <c r="E37" s="17">
        <v>109920</v>
      </c>
      <c r="F37" s="17">
        <v>99255</v>
      </c>
      <c r="G37" s="18">
        <f>IF(AND(F65&lt;&gt;0,99255&lt;&gt;0),IF(100*99255/(F65-0)&lt;0.005,"*",100*99255/(F65-0)),0)</f>
        <v>0.66569916554705177</v>
      </c>
    </row>
    <row r="38" spans="1:7" x14ac:dyDescent="0.2">
      <c r="A38" s="11" t="s">
        <v>139</v>
      </c>
      <c r="B38" s="17">
        <v>2434870</v>
      </c>
      <c r="C38" s="17">
        <v>0</v>
      </c>
      <c r="D38" s="17">
        <v>2434870</v>
      </c>
      <c r="E38" s="17">
        <v>2434870</v>
      </c>
      <c r="F38" s="17">
        <v>2198638</v>
      </c>
      <c r="G38" s="18">
        <f>IF(AND(F65&lt;&gt;0,2198638&lt;&gt;0),IF(100*2198638/(F65-0)&lt;0.005,"*",100*2198638/(F65-0)),0)</f>
        <v>14.74617381431705</v>
      </c>
    </row>
    <row r="39" spans="1:7" x14ac:dyDescent="0.2">
      <c r="A39" s="11" t="s">
        <v>140</v>
      </c>
      <c r="B39" s="17">
        <v>300438</v>
      </c>
      <c r="C39" s="17">
        <v>0</v>
      </c>
      <c r="D39" s="17">
        <v>300438</v>
      </c>
      <c r="E39" s="17">
        <v>300438</v>
      </c>
      <c r="F39" s="17">
        <v>271289</v>
      </c>
      <c r="G39" s="18">
        <f>IF(AND(F65&lt;&gt;0,271289&lt;&gt;0),IF(100*271289/(F65-0)&lt;0.005,"*",100*271289/(F65-0)),0)</f>
        <v>1.8195240634939713</v>
      </c>
    </row>
    <row r="40" spans="1:7" x14ac:dyDescent="0.2">
      <c r="A40" s="11" t="s">
        <v>141</v>
      </c>
      <c r="B40" s="17">
        <v>26313</v>
      </c>
      <c r="C40" s="17">
        <v>0</v>
      </c>
      <c r="D40" s="17">
        <v>26313</v>
      </c>
      <c r="E40" s="17">
        <v>26313</v>
      </c>
      <c r="F40" s="17">
        <v>23760</v>
      </c>
      <c r="G40" s="18">
        <f>IF(AND(F65&lt;&gt;0,23760&lt;&gt;0),IF(100*23760/(F65-0)&lt;0.005,"*",100*23760/(F65-0)),0)</f>
        <v>0.15935733387132084</v>
      </c>
    </row>
    <row r="41" spans="1:7" x14ac:dyDescent="0.2">
      <c r="A41" s="11" t="s">
        <v>142</v>
      </c>
      <c r="B41" s="17">
        <v>725566</v>
      </c>
      <c r="C41" s="17">
        <v>0</v>
      </c>
      <c r="D41" s="17">
        <v>725566</v>
      </c>
      <c r="E41" s="17">
        <v>725566</v>
      </c>
      <c r="F41" s="17">
        <v>655171</v>
      </c>
      <c r="G41" s="18">
        <f>IF(AND(F65&lt;&gt;0,655171&lt;&gt;0),IF(100*655171/(F65-0)&lt;0.005,"*",100*655171/(F65-0)),0)</f>
        <v>4.3942047049582129</v>
      </c>
    </row>
    <row r="42" spans="1:7" x14ac:dyDescent="0.2">
      <c r="A42" s="11" t="s">
        <v>143</v>
      </c>
      <c r="B42" s="17">
        <v>144793</v>
      </c>
      <c r="C42" s="17">
        <v>0</v>
      </c>
      <c r="D42" s="17">
        <v>144793</v>
      </c>
      <c r="E42" s="17">
        <v>144793</v>
      </c>
      <c r="F42" s="17">
        <v>130745</v>
      </c>
      <c r="G42" s="18">
        <f>IF(AND(F65&lt;&gt;0,130745&lt;&gt;0),IF(100*130745/(F65-0)&lt;0.005,"*",100*130745/(F65-0)),0)</f>
        <v>0.87690128859452199</v>
      </c>
    </row>
    <row r="43" spans="1:7" x14ac:dyDescent="0.2">
      <c r="A43" s="11" t="s">
        <v>144</v>
      </c>
      <c r="B43" s="17">
        <v>166244</v>
      </c>
      <c r="C43" s="17">
        <v>0</v>
      </c>
      <c r="D43" s="17">
        <v>166244</v>
      </c>
      <c r="E43" s="17">
        <v>166244</v>
      </c>
      <c r="F43" s="17">
        <v>150115</v>
      </c>
      <c r="G43" s="18">
        <f>IF(AND(F65&lt;&gt;0,150115&lt;&gt;0),IF(100*150115/(F65-0)&lt;0.005,"*",100*150115/(F65-0)),0)</f>
        <v>1.0068150746672275</v>
      </c>
    </row>
    <row r="44" spans="1:7" x14ac:dyDescent="0.2">
      <c r="A44" s="11" t="s">
        <v>145</v>
      </c>
      <c r="B44" s="17">
        <v>717125</v>
      </c>
      <c r="C44" s="17">
        <v>0</v>
      </c>
      <c r="D44" s="17">
        <v>717125</v>
      </c>
      <c r="E44" s="17">
        <v>717125</v>
      </c>
      <c r="F44" s="17">
        <v>647549</v>
      </c>
      <c r="G44" s="18">
        <f>IF(AND(F65&lt;&gt;0,647549&lt;&gt;0),IF(100*647549/(F65-0)&lt;0.005,"*",100*647549/(F65-0)),0)</f>
        <v>4.3430842672996608</v>
      </c>
    </row>
    <row r="45" spans="1:7" x14ac:dyDescent="0.2">
      <c r="A45" s="11" t="s">
        <v>146</v>
      </c>
      <c r="B45" s="17">
        <v>94708</v>
      </c>
      <c r="C45" s="17">
        <v>0</v>
      </c>
      <c r="D45" s="17">
        <v>94708</v>
      </c>
      <c r="E45" s="17">
        <v>94708</v>
      </c>
      <c r="F45" s="17">
        <v>85519</v>
      </c>
      <c r="G45" s="18">
        <f>IF(AND(F65&lt;&gt;0,85519&lt;&gt;0),IF(100*85519/(F65-0)&lt;0.005,"*",100*85519/(F65-0)),0)</f>
        <v>0.57357238364231844</v>
      </c>
    </row>
    <row r="46" spans="1:7" x14ac:dyDescent="0.2">
      <c r="A46" s="11" t="s">
        <v>147</v>
      </c>
      <c r="B46" s="17">
        <v>99638</v>
      </c>
      <c r="C46" s="17">
        <v>0</v>
      </c>
      <c r="D46" s="17">
        <v>99638</v>
      </c>
      <c r="E46" s="17">
        <v>99638</v>
      </c>
      <c r="F46" s="17">
        <v>89971</v>
      </c>
      <c r="G46" s="18">
        <f>IF(AND(F65&lt;&gt;0,89971&lt;&gt;0),IF(100*89971/(F65-0)&lt;0.005,"*",100*89971/(F65-0)),0)</f>
        <v>0.60343176286770228</v>
      </c>
    </row>
    <row r="47" spans="1:7" x14ac:dyDescent="0.2">
      <c r="A47" s="11" t="s">
        <v>148</v>
      </c>
      <c r="B47" s="17">
        <v>21207</v>
      </c>
      <c r="C47" s="17">
        <v>0</v>
      </c>
      <c r="D47" s="17">
        <v>21207</v>
      </c>
      <c r="E47" s="17">
        <v>21207</v>
      </c>
      <c r="F47" s="17">
        <v>19150</v>
      </c>
      <c r="G47" s="18">
        <f>IF(AND(F65&lt;&gt;0,19150&lt;&gt;0),IF(100*19150/(F65-0)&lt;0.005,"*",100*19150/(F65-0)),0)</f>
        <v>0.12843825520352667</v>
      </c>
    </row>
    <row r="48" spans="1:7" x14ac:dyDescent="0.2">
      <c r="A48" s="11" t="s">
        <v>149</v>
      </c>
      <c r="B48" s="17">
        <v>190892</v>
      </c>
      <c r="C48" s="17">
        <v>0</v>
      </c>
      <c r="D48" s="17">
        <v>190892</v>
      </c>
      <c r="E48" s="17">
        <v>190892</v>
      </c>
      <c r="F48" s="17">
        <v>172371</v>
      </c>
      <c r="G48" s="18">
        <f>IF(AND(F65&lt;&gt;0,172371&lt;&gt;0),IF(100*172371/(F65-0)&lt;0.005,"*",100*172371/(F65-0)),0)</f>
        <v>1.1560851429601617</v>
      </c>
    </row>
    <row r="49" spans="1:7" x14ac:dyDescent="0.2">
      <c r="A49" s="11" t="s">
        <v>150</v>
      </c>
      <c r="B49" s="17">
        <v>484652</v>
      </c>
      <c r="C49" s="17">
        <v>0</v>
      </c>
      <c r="D49" s="17">
        <v>484652</v>
      </c>
      <c r="E49" s="17">
        <v>484652</v>
      </c>
      <c r="F49" s="17">
        <v>437631</v>
      </c>
      <c r="G49" s="18">
        <f>IF(AND(F65&lt;&gt;0,437631&lt;&gt;0),IF(100*437631/(F65-0)&lt;0.005,"*",100*437631/(F65-0)),0)</f>
        <v>2.935172953680135</v>
      </c>
    </row>
    <row r="50" spans="1:7" x14ac:dyDescent="0.2">
      <c r="A50" s="11" t="s">
        <v>151</v>
      </c>
      <c r="B50" s="17">
        <v>75356</v>
      </c>
      <c r="C50" s="17">
        <v>0</v>
      </c>
      <c r="D50" s="17">
        <v>75356</v>
      </c>
      <c r="E50" s="17">
        <v>75356</v>
      </c>
      <c r="F50" s="17">
        <v>68045</v>
      </c>
      <c r="G50" s="18">
        <f>IF(AND(F65&lt;&gt;0,68045&lt;&gt;0),IF(100*68045/(F65-0)&lt;0.005,"*",100*68045/(F65-0)),0)</f>
        <v>0.45637499087853645</v>
      </c>
    </row>
    <row r="51" spans="1:7" x14ac:dyDescent="0.2">
      <c r="A51" s="11" t="s">
        <v>152</v>
      </c>
      <c r="B51" s="17">
        <v>47197</v>
      </c>
      <c r="C51" s="17">
        <v>0</v>
      </c>
      <c r="D51" s="17">
        <v>47197</v>
      </c>
      <c r="E51" s="17">
        <v>47197</v>
      </c>
      <c r="F51" s="17">
        <v>42618</v>
      </c>
      <c r="G51" s="18">
        <f>IF(AND(F65&lt;&gt;0,42618&lt;&gt;0),IF(100*42618/(F65-0)&lt;0.005,"*",100*42618/(F65-0)),0)</f>
        <v>0.28583715719393732</v>
      </c>
    </row>
    <row r="52" spans="1:7" x14ac:dyDescent="0.2">
      <c r="A52" s="11" t="s">
        <v>153</v>
      </c>
      <c r="B52" s="17">
        <v>157763</v>
      </c>
      <c r="C52" s="17">
        <v>0</v>
      </c>
      <c r="D52" s="17">
        <v>157763</v>
      </c>
      <c r="E52" s="17">
        <v>157763</v>
      </c>
      <c r="F52" s="17">
        <v>142457</v>
      </c>
      <c r="G52" s="18">
        <f>IF(AND(F65&lt;&gt;0,142457&lt;&gt;0),IF(100*142457/(F65-0)&lt;0.005,"*",100*142457/(F65-0)),0)</f>
        <v>0.95545318650280942</v>
      </c>
    </row>
    <row r="53" spans="1:7" x14ac:dyDescent="0.2">
      <c r="A53" s="11" t="s">
        <v>154</v>
      </c>
      <c r="B53" s="17">
        <v>379065</v>
      </c>
      <c r="C53" s="17">
        <v>0</v>
      </c>
      <c r="D53" s="17">
        <v>379058</v>
      </c>
      <c r="E53" s="17">
        <v>379058</v>
      </c>
      <c r="F53" s="17">
        <v>342282</v>
      </c>
      <c r="G53" s="18">
        <f>IF(AND(F65&lt;&gt;0,342282&lt;&gt;0),IF(100*342282/(F65-0)&lt;0.005,"*",100*342282/(F65-0)),0)</f>
        <v>2.295671168019505</v>
      </c>
    </row>
    <row r="54" spans="1:7" x14ac:dyDescent="0.2">
      <c r="A54" s="11" t="s">
        <v>155</v>
      </c>
      <c r="B54" s="17">
        <v>109813</v>
      </c>
      <c r="C54" s="17">
        <v>0</v>
      </c>
      <c r="D54" s="17">
        <v>109813</v>
      </c>
      <c r="E54" s="17">
        <v>109813</v>
      </c>
      <c r="F54" s="17">
        <v>99159</v>
      </c>
      <c r="G54" s="18">
        <f>IF(AND(F65&lt;&gt;0,99159&lt;&gt;0),IF(100*99159/(F65-0)&lt;0.005,"*",100*99159/(F65-0)),0)</f>
        <v>0.66505529753141002</v>
      </c>
    </row>
    <row r="55" spans="1:7" x14ac:dyDescent="0.2">
      <c r="A55" s="11" t="s">
        <v>156</v>
      </c>
      <c r="B55" s="17">
        <v>312846</v>
      </c>
      <c r="C55" s="17">
        <v>0</v>
      </c>
      <c r="D55" s="17">
        <v>312846</v>
      </c>
      <c r="E55" s="17">
        <v>312846</v>
      </c>
      <c r="F55" s="17">
        <v>282494</v>
      </c>
      <c r="G55" s="18">
        <f>IF(AND(F65&lt;&gt;0,282494&lt;&gt;0),IF(100*282494/(F65-0)&lt;0.005,"*",100*282494/(F65-0)),0)</f>
        <v>1.894675533444651</v>
      </c>
    </row>
    <row r="56" spans="1:7" x14ac:dyDescent="0.2">
      <c r="A56" s="11" t="s">
        <v>157</v>
      </c>
      <c r="B56" s="17">
        <v>18429</v>
      </c>
      <c r="C56" s="17">
        <v>0</v>
      </c>
      <c r="D56" s="17">
        <v>18429</v>
      </c>
      <c r="E56" s="17">
        <v>18429</v>
      </c>
      <c r="F56" s="17">
        <v>16641</v>
      </c>
      <c r="G56" s="18">
        <f>IF(AND(F65&lt;&gt;0,16641&lt;&gt;0),IF(100*16641/(F65-0)&lt;0.005,"*",100*16641/(F65-0)),0)</f>
        <v>0.11161049633639099</v>
      </c>
    </row>
    <row r="57" spans="1:7" x14ac:dyDescent="0.2">
      <c r="A57" s="11" t="s">
        <v>158</v>
      </c>
      <c r="B57" s="17">
        <v>0</v>
      </c>
      <c r="C57" s="17">
        <v>0</v>
      </c>
      <c r="D57" s="17">
        <v>0</v>
      </c>
      <c r="E57" s="17">
        <v>0</v>
      </c>
      <c r="F57" s="17">
        <v>0</v>
      </c>
      <c r="G57" s="18">
        <f>IF(AND(F65&lt;&gt;0,0&lt;&gt;0),IF(100*0/(F65-0)&lt;0.005,"*",100*0/(F65-0)),0)</f>
        <v>0</v>
      </c>
    </row>
    <row r="58" spans="1:7" x14ac:dyDescent="0.2">
      <c r="A58" s="11" t="s">
        <v>159</v>
      </c>
      <c r="B58" s="17">
        <v>3454</v>
      </c>
      <c r="C58" s="17">
        <v>0</v>
      </c>
      <c r="D58" s="17">
        <v>3454</v>
      </c>
      <c r="E58" s="17">
        <v>3454</v>
      </c>
      <c r="F58" s="17">
        <v>3119</v>
      </c>
      <c r="G58" s="18">
        <f>IF(AND(F65&lt;&gt;0,3119&lt;&gt;0),IF(100*3119/(F65-0)&lt;0.005,"*",100*3119/(F65-0)),0)</f>
        <v>2.0919003549858994E-2</v>
      </c>
    </row>
    <row r="59" spans="1:7" x14ac:dyDescent="0.2">
      <c r="A59" s="11" t="s">
        <v>160</v>
      </c>
      <c r="B59" s="17">
        <v>0</v>
      </c>
      <c r="C59" s="17">
        <v>0</v>
      </c>
      <c r="D59" s="17">
        <v>0</v>
      </c>
      <c r="E59" s="17">
        <v>0</v>
      </c>
      <c r="F59" s="17">
        <v>0</v>
      </c>
      <c r="G59" s="18">
        <f>IF(AND(F65&lt;&gt;0,0&lt;&gt;0),IF(100*0/(F65-0)&lt;0.005,"*",100*0/(F65-0)),0)</f>
        <v>0</v>
      </c>
    </row>
    <row r="60" spans="1:7" x14ac:dyDescent="0.2">
      <c r="A60" s="11" t="s">
        <v>161</v>
      </c>
      <c r="B60" s="17">
        <v>71326</v>
      </c>
      <c r="C60" s="17">
        <v>0</v>
      </c>
      <c r="D60" s="17">
        <v>71326</v>
      </c>
      <c r="E60" s="17">
        <v>71326</v>
      </c>
      <c r="F60" s="17">
        <v>64406</v>
      </c>
      <c r="G60" s="18">
        <f>IF(AND(F65&lt;&gt;0,64406&lt;&gt;0),IF(100*64406/(F65-0)&lt;0.005,"*",100*64406/(F65-0)),0)</f>
        <v>0.43196836891061824</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2837</v>
      </c>
      <c r="C62" s="17">
        <v>0</v>
      </c>
      <c r="D62" s="17">
        <v>2837</v>
      </c>
      <c r="E62" s="17">
        <v>2837</v>
      </c>
      <c r="F62" s="17">
        <v>2562</v>
      </c>
      <c r="G62" s="18">
        <f>IF(AND(F65&lt;&gt;0,2562&lt;&gt;0),IF(100*2562/(F65-0)&lt;0.005,"*",100*2562/(F65-0)),0)</f>
        <v>1.7183227667437878E-2</v>
      </c>
    </row>
    <row r="63" spans="1:7" x14ac:dyDescent="0.2">
      <c r="A63" s="11" t="s">
        <v>164</v>
      </c>
      <c r="B63" s="17">
        <v>195288</v>
      </c>
      <c r="C63" s="17">
        <v>0</v>
      </c>
      <c r="D63" s="17">
        <v>196779</v>
      </c>
      <c r="E63" s="17">
        <v>196779</v>
      </c>
      <c r="F63" s="17">
        <v>177688</v>
      </c>
      <c r="G63" s="18">
        <f>IF(AND(F65&lt;&gt;0,177688&lt;&gt;0),IF(100*177688/(F65-0)&lt;0.005,"*",100*177688/(F65-0)),0)</f>
        <v>1.1917460412848171</v>
      </c>
    </row>
    <row r="64" spans="1:7" x14ac:dyDescent="0.2">
      <c r="A64" s="11" t="s">
        <v>165</v>
      </c>
      <c r="B64" s="17">
        <v>0</v>
      </c>
      <c r="C64" s="17">
        <v>0</v>
      </c>
      <c r="D64" s="17">
        <v>0</v>
      </c>
      <c r="E64" s="17">
        <v>0</v>
      </c>
      <c r="F64" s="17">
        <v>0</v>
      </c>
      <c r="G64" s="18">
        <v>0</v>
      </c>
    </row>
    <row r="65" spans="1:7" ht="15" customHeight="1" x14ac:dyDescent="0.2">
      <c r="A65" s="19" t="s">
        <v>106</v>
      </c>
      <c r="B65" s="20">
        <f>93007+44397+199407+56546+3638696+135608+265908+32184+92304+560484+329650+98578+30307+583126+206117+130558+101478+180689+163431+77863+228342+457855+772795+260597+86481+216335+37889+56642+43762+38394+402702+109920+2434870+300438+26313+725566+144793+166244+717125+94708+99638+21207+190892+484652+75356+47197+157763+379065+109813+312846+18429+0+3454+0+71326+0+2837+195288+0+0</f>
        <v>16511872</v>
      </c>
      <c r="C65" s="20">
        <f>0+0+0+0+0+0+0+0+0+0+0+0+0+0+0+0+0+0+0+0+0+0+0+0+0+0+0+0+0+0+0+0+0+0+0+0+0+0+0+0+0+0+0+0+0+0+0+0+0+0+0+0+0+0+0+0+0+0+0+0</f>
        <v>0</v>
      </c>
      <c r="D65" s="20">
        <f>93007+44397+199407+56546+3637998+135608+265908+32184+92304+560484+329650+98578+30307+583126+206117+130558+101478+180689+163431+77863+228342+457855+772795+259826+86481+216335+37889+56627+43762+38394+402702+109920+2434870+300438+26313+725566+144793+166244+717125+94708+99638+21207+190892+484652+75356+47197+157763+379058+109813+312846+18429+0+3454+0+71326+0+2837+196779+0+0</f>
        <v>16511872</v>
      </c>
      <c r="E65" s="20">
        <f>SUM(C65:D65)</f>
        <v>16511872</v>
      </c>
      <c r="F65" s="20">
        <f>83984+40090+180061+51060+3285037+122451+240109+29062+83349+506106+297668+89014+27367+526551+186119+117891+91632+163159+147575+70309+206188+413434+697818+234618+78091+195347+34213+51133+39517+34669+363631+99255+2198638+271289+23760+655171+130745+150115+647549+85519+89971+19150+172371+437631+68045+42618+142457+342282+99159+282494+16641+0+3119+0+64406+0+2562+177688+0+0</f>
        <v>14909888</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202</v>
      </c>
    </row>
    <row r="2" spans="1:7" x14ac:dyDescent="0.2">
      <c r="A2" s="13" t="s">
        <v>203</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59060</v>
      </c>
      <c r="C6" s="17">
        <v>0</v>
      </c>
      <c r="D6" s="17">
        <v>59874</v>
      </c>
      <c r="E6" s="17">
        <v>59874</v>
      </c>
      <c r="F6" s="17">
        <v>59222</v>
      </c>
      <c r="G6" s="18">
        <f>IF(AND(F65&lt;&gt;0,59222&lt;&gt;0),IF(100*59222/(F65-0)&lt;0.005,"*",100*59222/(F65-0)),0)</f>
        <v>1.3316552914645847</v>
      </c>
    </row>
    <row r="7" spans="1:7" x14ac:dyDescent="0.2">
      <c r="A7" s="11" t="s">
        <v>108</v>
      </c>
      <c r="B7" s="17">
        <v>21626</v>
      </c>
      <c r="C7" s="17">
        <v>0</v>
      </c>
      <c r="D7" s="17">
        <v>21924</v>
      </c>
      <c r="E7" s="17">
        <v>21924</v>
      </c>
      <c r="F7" s="17">
        <v>21685</v>
      </c>
      <c r="G7" s="18">
        <f>IF(AND(F65&lt;&gt;0,21685&lt;&gt;0),IF(100*21685/(F65-0)&lt;0.005,"*",100*21685/(F65-0)),0)</f>
        <v>0.48760502845917936</v>
      </c>
    </row>
    <row r="8" spans="1:7" x14ac:dyDescent="0.2">
      <c r="A8" s="11" t="s">
        <v>109</v>
      </c>
      <c r="B8" s="17">
        <v>47835</v>
      </c>
      <c r="C8" s="17">
        <v>0</v>
      </c>
      <c r="D8" s="17">
        <v>48494</v>
      </c>
      <c r="E8" s="17">
        <v>48494</v>
      </c>
      <c r="F8" s="17">
        <v>47966</v>
      </c>
      <c r="G8" s="18">
        <f>IF(AND(F65&lt;&gt;0,47966&lt;&gt;0),IF(100*47966/(F65-0)&lt;0.005,"*",100*47966/(F65-0)),0)</f>
        <v>1.0785548902500806</v>
      </c>
    </row>
    <row r="9" spans="1:7" x14ac:dyDescent="0.2">
      <c r="A9" s="11" t="s">
        <v>110</v>
      </c>
      <c r="B9" s="17">
        <v>37062</v>
      </c>
      <c r="C9" s="17">
        <v>0</v>
      </c>
      <c r="D9" s="17">
        <v>37572</v>
      </c>
      <c r="E9" s="17">
        <v>37572</v>
      </c>
      <c r="F9" s="17">
        <v>37164</v>
      </c>
      <c r="G9" s="18">
        <f>IF(AND(F65&lt;&gt;0,37164&lt;&gt;0),IF(100*37164/(F65-0)&lt;0.005,"*",100*37164/(F65-0)),0)</f>
        <v>0.83566305177112943</v>
      </c>
    </row>
    <row r="10" spans="1:7" x14ac:dyDescent="0.2">
      <c r="A10" s="11" t="s">
        <v>111</v>
      </c>
      <c r="B10" s="17">
        <v>677466</v>
      </c>
      <c r="C10" s="17">
        <v>0</v>
      </c>
      <c r="D10" s="17">
        <v>686802</v>
      </c>
      <c r="E10" s="17">
        <v>686802</v>
      </c>
      <c r="F10" s="17">
        <v>679330</v>
      </c>
      <c r="G10" s="18">
        <f>IF(AND(F65&lt;&gt;0,679330&lt;&gt;0),IF(100*679330/(F65-0)&lt;0.005,"*",100*679330/(F65-0)),0)</f>
        <v>15.27529278225383</v>
      </c>
    </row>
    <row r="11" spans="1:7" x14ac:dyDescent="0.2">
      <c r="A11" s="11" t="s">
        <v>112</v>
      </c>
      <c r="B11" s="17">
        <v>54993</v>
      </c>
      <c r="C11" s="17">
        <v>0</v>
      </c>
      <c r="D11" s="17">
        <v>55751</v>
      </c>
      <c r="E11" s="17">
        <v>55751</v>
      </c>
      <c r="F11" s="17">
        <v>55144</v>
      </c>
      <c r="G11" s="18">
        <f>IF(AND(F65&lt;&gt;0,55144&lt;&gt;0),IF(100*55144/(F65-0)&lt;0.005,"*",100*55144/(F65-0)),0)</f>
        <v>1.2399581134126347</v>
      </c>
    </row>
    <row r="12" spans="1:7" x14ac:dyDescent="0.2">
      <c r="A12" s="11" t="s">
        <v>113</v>
      </c>
      <c r="B12" s="17">
        <v>55094</v>
      </c>
      <c r="C12" s="17">
        <v>0</v>
      </c>
      <c r="D12" s="17">
        <v>55853</v>
      </c>
      <c r="E12" s="17">
        <v>55853</v>
      </c>
      <c r="F12" s="17">
        <v>55245</v>
      </c>
      <c r="G12" s="18">
        <f>IF(AND(F65&lt;&gt;0,55245&lt;&gt;0),IF(100*55245/(F65-0)&lt;0.005,"*",100*55245/(F65-0)),0)</f>
        <v>1.2422291813339803</v>
      </c>
    </row>
    <row r="13" spans="1:7" x14ac:dyDescent="0.2">
      <c r="A13" s="11" t="s">
        <v>114</v>
      </c>
      <c r="B13" s="17">
        <v>24575</v>
      </c>
      <c r="C13" s="17">
        <v>0</v>
      </c>
      <c r="D13" s="17">
        <v>24913</v>
      </c>
      <c r="E13" s="17">
        <v>24913</v>
      </c>
      <c r="F13" s="17">
        <v>24642</v>
      </c>
      <c r="G13" s="18">
        <f>IF(AND(F65&lt;&gt;0,24642&lt;&gt;0),IF(100*24642/(F65-0)&lt;0.005,"*",100*24642/(F65-0)),0)</f>
        <v>0.55409560116629453</v>
      </c>
    </row>
    <row r="14" spans="1:7" x14ac:dyDescent="0.2">
      <c r="A14" s="11" t="s">
        <v>115</v>
      </c>
      <c r="B14" s="17">
        <v>18221</v>
      </c>
      <c r="C14" s="17">
        <v>0</v>
      </c>
      <c r="D14" s="17">
        <v>18472</v>
      </c>
      <c r="E14" s="17">
        <v>18472</v>
      </c>
      <c r="F14" s="17">
        <v>18271</v>
      </c>
      <c r="G14" s="18">
        <f>IF(AND(F65&lt;&gt;0,18271&lt;&gt;0),IF(100*18271/(F65-0)&lt;0.005,"*",100*18271/(F65-0)),0)</f>
        <v>0.41083843555350086</v>
      </c>
    </row>
    <row r="15" spans="1:7" x14ac:dyDescent="0.2">
      <c r="A15" s="11" t="s">
        <v>116</v>
      </c>
      <c r="B15" s="17">
        <v>197126</v>
      </c>
      <c r="C15" s="17">
        <v>0</v>
      </c>
      <c r="D15" s="17">
        <v>199844</v>
      </c>
      <c r="E15" s="17">
        <v>199844</v>
      </c>
      <c r="F15" s="17">
        <v>197669</v>
      </c>
      <c r="G15" s="18">
        <f>IF(AND(F65&lt;&gt;0,197669&lt;&gt;0),IF(100*197669/(F65-0)&lt;0.005,"*",100*197669/(F65-0)),0)</f>
        <v>4.4447497519251797</v>
      </c>
    </row>
    <row r="16" spans="1:7" x14ac:dyDescent="0.2">
      <c r="A16" s="11" t="s">
        <v>117</v>
      </c>
      <c r="B16" s="17">
        <v>82577</v>
      </c>
      <c r="C16" s="17">
        <v>0</v>
      </c>
      <c r="D16" s="17">
        <v>83715</v>
      </c>
      <c r="E16" s="17">
        <v>83715</v>
      </c>
      <c r="F16" s="17">
        <v>82804</v>
      </c>
      <c r="G16" s="18">
        <f>IF(AND(F65&lt;&gt;0,82804&lt;&gt;0),IF(100*82804/(F65-0)&lt;0.005,"*",100*82804/(F65-0)),0)</f>
        <v>1.8619159223672532</v>
      </c>
    </row>
    <row r="17" spans="1:7" x14ac:dyDescent="0.2">
      <c r="A17" s="11" t="s">
        <v>118</v>
      </c>
      <c r="B17" s="17">
        <v>16787</v>
      </c>
      <c r="C17" s="17">
        <v>0</v>
      </c>
      <c r="D17" s="17">
        <v>17018</v>
      </c>
      <c r="E17" s="17">
        <v>17018</v>
      </c>
      <c r="F17" s="17">
        <v>16833</v>
      </c>
      <c r="G17" s="18">
        <f>IF(AND(F65&lt;&gt;0,16833&lt;&gt;0),IF(100*16833/(F65-0)&lt;0.005,"*",100*16833/(F65-0)),0)</f>
        <v>0.37850382495058177</v>
      </c>
    </row>
    <row r="18" spans="1:7" x14ac:dyDescent="0.2">
      <c r="A18" s="11" t="s">
        <v>119</v>
      </c>
      <c r="B18" s="17">
        <v>23747</v>
      </c>
      <c r="C18" s="17">
        <v>0</v>
      </c>
      <c r="D18" s="17">
        <v>24074</v>
      </c>
      <c r="E18" s="17">
        <v>24074</v>
      </c>
      <c r="F18" s="17">
        <v>23812</v>
      </c>
      <c r="G18" s="18">
        <f>IF(AND(F65&lt;&gt;0,23812&lt;&gt;0),IF(100*23812/(F65-0)&lt;0.005,"*",100*23812/(F65-0)),0)</f>
        <v>0.53543236973345532</v>
      </c>
    </row>
    <row r="19" spans="1:7" x14ac:dyDescent="0.2">
      <c r="A19" s="11" t="s">
        <v>120</v>
      </c>
      <c r="B19" s="17">
        <v>113775</v>
      </c>
      <c r="C19" s="17">
        <v>0</v>
      </c>
      <c r="D19" s="17">
        <v>115343</v>
      </c>
      <c r="E19" s="17">
        <v>115343</v>
      </c>
      <c r="F19" s="17">
        <v>114088</v>
      </c>
      <c r="G19" s="18">
        <f>IF(AND(F65&lt;&gt;0,114088&lt;&gt;0),IF(100*114088/(F65-0)&lt;0.005,"*",100*114088/(F65-0)),0)</f>
        <v>2.5653623466382687</v>
      </c>
    </row>
    <row r="20" spans="1:7" x14ac:dyDescent="0.2">
      <c r="A20" s="11" t="s">
        <v>121</v>
      </c>
      <c r="B20" s="17">
        <v>76978</v>
      </c>
      <c r="C20" s="17">
        <v>0</v>
      </c>
      <c r="D20" s="17">
        <v>78038</v>
      </c>
      <c r="E20" s="17">
        <v>78038</v>
      </c>
      <c r="F20" s="17">
        <v>77189</v>
      </c>
      <c r="G20" s="18">
        <f>IF(AND(F65&lt;&gt;0,77189&lt;&gt;0),IF(100*77189/(F65-0)&lt;0.005,"*",100*77189/(F65-0)),0)</f>
        <v>1.7356580374330457</v>
      </c>
    </row>
    <row r="21" spans="1:7" x14ac:dyDescent="0.2">
      <c r="A21" s="11" t="s">
        <v>122</v>
      </c>
      <c r="B21" s="17">
        <v>41560</v>
      </c>
      <c r="C21" s="17">
        <v>0</v>
      </c>
      <c r="D21" s="17">
        <v>42132</v>
      </c>
      <c r="E21" s="17">
        <v>42132</v>
      </c>
      <c r="F21" s="17">
        <v>41674</v>
      </c>
      <c r="G21" s="18">
        <f>IF(AND(F65&lt;&gt;0,41674&lt;&gt;0),IF(100*41674/(F65-0)&lt;0.005,"*",100*41674/(F65-0)),0)</f>
        <v>0.93707410449655704</v>
      </c>
    </row>
    <row r="22" spans="1:7" x14ac:dyDescent="0.2">
      <c r="A22" s="11" t="s">
        <v>123</v>
      </c>
      <c r="B22" s="17">
        <v>29914</v>
      </c>
      <c r="C22" s="17">
        <v>0</v>
      </c>
      <c r="D22" s="17">
        <v>30326</v>
      </c>
      <c r="E22" s="17">
        <v>30326</v>
      </c>
      <c r="F22" s="17">
        <v>29996</v>
      </c>
      <c r="G22" s="18">
        <f>IF(AND(F65&lt;&gt;0,29996&lt;&gt;0),IF(100*29996/(F65-0)&lt;0.005,"*",100*29996/(F65-0)),0)</f>
        <v>0.6744846868186094</v>
      </c>
    </row>
    <row r="23" spans="1:7" x14ac:dyDescent="0.2">
      <c r="A23" s="11" t="s">
        <v>124</v>
      </c>
      <c r="B23" s="17">
        <v>56944</v>
      </c>
      <c r="C23" s="17">
        <v>0</v>
      </c>
      <c r="D23" s="17">
        <v>57729</v>
      </c>
      <c r="E23" s="17">
        <v>57729</v>
      </c>
      <c r="F23" s="17">
        <v>57100</v>
      </c>
      <c r="G23" s="18">
        <f>IF(AND(F65&lt;&gt;0,57100&lt;&gt;0),IF(100*57100/(F65-0)&lt;0.005,"*",100*57100/(F65-0)),0)</f>
        <v>1.2839403792953259</v>
      </c>
    </row>
    <row r="24" spans="1:7" x14ac:dyDescent="0.2">
      <c r="A24" s="11" t="s">
        <v>125</v>
      </c>
      <c r="B24" s="17">
        <v>64699</v>
      </c>
      <c r="C24" s="17">
        <v>0</v>
      </c>
      <c r="D24" s="17">
        <v>65591</v>
      </c>
      <c r="E24" s="17">
        <v>65591</v>
      </c>
      <c r="F24" s="17">
        <v>64877</v>
      </c>
      <c r="G24" s="18">
        <f>IF(AND(F65&lt;&gt;0,64877&lt;&gt;0),IF(100*64877/(F65-0)&lt;0.005,"*",100*64877/(F65-0)),0)</f>
        <v>1.4588126092389291</v>
      </c>
    </row>
    <row r="25" spans="1:7" x14ac:dyDescent="0.2">
      <c r="A25" s="11" t="s">
        <v>126</v>
      </c>
      <c r="B25" s="17">
        <v>22067</v>
      </c>
      <c r="C25" s="17">
        <v>0</v>
      </c>
      <c r="D25" s="17">
        <v>22371</v>
      </c>
      <c r="E25" s="17">
        <v>22371</v>
      </c>
      <c r="F25" s="17">
        <v>22128</v>
      </c>
      <c r="G25" s="18">
        <f>IF(AND(F65&lt;&gt;0,22128&lt;&gt;0),IF(100*22128/(F65-0)&lt;0.005,"*",100*22128/(F65-0)),0)</f>
        <v>0.49756624716369474</v>
      </c>
    </row>
    <row r="26" spans="1:7" x14ac:dyDescent="0.2">
      <c r="A26" s="11" t="s">
        <v>127</v>
      </c>
      <c r="B26" s="17">
        <v>87866</v>
      </c>
      <c r="C26" s="17">
        <v>0</v>
      </c>
      <c r="D26" s="17">
        <v>89077</v>
      </c>
      <c r="E26" s="17">
        <v>89077</v>
      </c>
      <c r="F26" s="17">
        <v>88107</v>
      </c>
      <c r="G26" s="18">
        <f>IF(AND(F65&lt;&gt;0,88107&lt;&gt;0),IF(100*88107/(F65-0)&lt;0.005,"*",100*88107/(F65-0)),0)</f>
        <v>1.9811582311483935</v>
      </c>
    </row>
    <row r="27" spans="1:7" x14ac:dyDescent="0.2">
      <c r="A27" s="11" t="s">
        <v>128</v>
      </c>
      <c r="B27" s="17">
        <v>73039</v>
      </c>
      <c r="C27" s="17">
        <v>0</v>
      </c>
      <c r="D27" s="17">
        <v>74045</v>
      </c>
      <c r="E27" s="17">
        <v>74045</v>
      </c>
      <c r="F27" s="17">
        <v>73240</v>
      </c>
      <c r="G27" s="18">
        <f>IF(AND(F65&lt;&gt;0,73240&lt;&gt;0),IF(100*73240/(F65-0)&lt;0.005,"*",100*73240/(F65-0)),0)</f>
        <v>1.6468615302905369</v>
      </c>
    </row>
    <row r="28" spans="1:7" x14ac:dyDescent="0.2">
      <c r="A28" s="11" t="s">
        <v>129</v>
      </c>
      <c r="B28" s="17">
        <v>170256</v>
      </c>
      <c r="C28" s="17">
        <v>0</v>
      </c>
      <c r="D28" s="17">
        <v>172601</v>
      </c>
      <c r="E28" s="17">
        <v>172601</v>
      </c>
      <c r="F28" s="17">
        <v>170724</v>
      </c>
      <c r="G28" s="18">
        <f>IF(AND(F65&lt;&gt;0,170724&lt;&gt;0),IF(100*170724/(F65-0)&lt;0.005,"*",100*170724/(F65-0)),0)</f>
        <v>3.8388693049880072</v>
      </c>
    </row>
    <row r="29" spans="1:7" x14ac:dyDescent="0.2">
      <c r="A29" s="11" t="s">
        <v>130</v>
      </c>
      <c r="B29" s="17">
        <v>128160</v>
      </c>
      <c r="C29" s="17">
        <v>0</v>
      </c>
      <c r="D29" s="17">
        <v>129925</v>
      </c>
      <c r="E29" s="17">
        <v>129925</v>
      </c>
      <c r="F29" s="17">
        <v>128512</v>
      </c>
      <c r="G29" s="18">
        <f>IF(AND(F65&lt;&gt;0,128512&lt;&gt;0),IF(100*128512/(F65-0)&lt;0.005,"*",100*128512/(F65-0)),0)</f>
        <v>2.8896978287916095</v>
      </c>
    </row>
    <row r="30" spans="1:7" x14ac:dyDescent="0.2">
      <c r="A30" s="11" t="s">
        <v>131</v>
      </c>
      <c r="B30" s="17">
        <v>26419</v>
      </c>
      <c r="C30" s="17">
        <v>0</v>
      </c>
      <c r="D30" s="17">
        <v>26783</v>
      </c>
      <c r="E30" s="17">
        <v>26783</v>
      </c>
      <c r="F30" s="17">
        <v>26492</v>
      </c>
      <c r="G30" s="18">
        <f>IF(AND(F65&lt;&gt;0,26492&lt;&gt;0),IF(100*26492/(F65-0)&lt;0.005,"*",100*26492/(F65-0)),0)</f>
        <v>0.59569437002262293</v>
      </c>
    </row>
    <row r="31" spans="1:7" x14ac:dyDescent="0.2">
      <c r="A31" s="11" t="s">
        <v>132</v>
      </c>
      <c r="B31" s="17">
        <v>65261</v>
      </c>
      <c r="C31" s="17">
        <v>0</v>
      </c>
      <c r="D31" s="17">
        <v>66160</v>
      </c>
      <c r="E31" s="17">
        <v>66160</v>
      </c>
      <c r="F31" s="17">
        <v>65440</v>
      </c>
      <c r="G31" s="18">
        <f>IF(AND(F65&lt;&gt;0,65440&lt;&gt;0),IF(100*65440/(F65-0)&lt;0.005,"*",100*65440/(F65-0)),0)</f>
        <v>1.4714721264638551</v>
      </c>
    </row>
    <row r="32" spans="1:7" x14ac:dyDescent="0.2">
      <c r="A32" s="11" t="s">
        <v>133</v>
      </c>
      <c r="B32" s="17">
        <v>13018</v>
      </c>
      <c r="C32" s="17">
        <v>0</v>
      </c>
      <c r="D32" s="17">
        <v>13197</v>
      </c>
      <c r="E32" s="17">
        <v>13197</v>
      </c>
      <c r="F32" s="17">
        <v>13053</v>
      </c>
      <c r="G32" s="18">
        <f>IF(AND(F65&lt;&gt;0,13053&lt;&gt;0),IF(100*13053/(F65-0)&lt;0.005,"*",100*13053/(F65-0)),0)</f>
        <v>0.2935074215576513</v>
      </c>
    </row>
    <row r="33" spans="1:7" x14ac:dyDescent="0.2">
      <c r="A33" s="11" t="s">
        <v>134</v>
      </c>
      <c r="B33" s="17">
        <v>28129</v>
      </c>
      <c r="C33" s="17">
        <v>0</v>
      </c>
      <c r="D33" s="17">
        <v>28517</v>
      </c>
      <c r="E33" s="17">
        <v>28517</v>
      </c>
      <c r="F33" s="17">
        <v>28207</v>
      </c>
      <c r="G33" s="18">
        <f>IF(AND(F65&lt;&gt;0,28207&lt;&gt;0),IF(100*28207/(F65-0)&lt;0.005,"*",100*28207/(F65-0)),0)</f>
        <v>0.63425755304348963</v>
      </c>
    </row>
    <row r="34" spans="1:7" x14ac:dyDescent="0.2">
      <c r="A34" s="11" t="s">
        <v>135</v>
      </c>
      <c r="B34" s="17">
        <v>42423</v>
      </c>
      <c r="C34" s="17">
        <v>0</v>
      </c>
      <c r="D34" s="17">
        <v>43007</v>
      </c>
      <c r="E34" s="17">
        <v>43007</v>
      </c>
      <c r="F34" s="17">
        <v>42539</v>
      </c>
      <c r="G34" s="18">
        <f>IF(AND(F65&lt;&gt;0,42539&lt;&gt;0),IF(100*42539/(F65-0)&lt;0.005,"*",100*42539/(F65-0)),0)</f>
        <v>0.956524339664516</v>
      </c>
    </row>
    <row r="35" spans="1:7" x14ac:dyDescent="0.2">
      <c r="A35" s="11" t="s">
        <v>136</v>
      </c>
      <c r="B35" s="17">
        <v>15737</v>
      </c>
      <c r="C35" s="17">
        <v>0</v>
      </c>
      <c r="D35" s="17">
        <v>15953</v>
      </c>
      <c r="E35" s="17">
        <v>15953</v>
      </c>
      <c r="F35" s="17">
        <v>15780</v>
      </c>
      <c r="G35" s="18">
        <f>IF(AND(F65&lt;&gt;0,15780&lt;&gt;0),IF(100*15780/(F65-0)&lt;0.005,"*",100*15780/(F65-0)),0)</f>
        <v>0.35482625543397972</v>
      </c>
    </row>
    <row r="36" spans="1:7" x14ac:dyDescent="0.2">
      <c r="A36" s="11" t="s">
        <v>137</v>
      </c>
      <c r="B36" s="17">
        <v>199993</v>
      </c>
      <c r="C36" s="17">
        <v>0</v>
      </c>
      <c r="D36" s="17">
        <v>202749</v>
      </c>
      <c r="E36" s="17">
        <v>202749</v>
      </c>
      <c r="F36" s="17">
        <v>200543</v>
      </c>
      <c r="G36" s="18">
        <f>IF(AND(F65&lt;&gt;0,200543&lt;&gt;0),IF(100*200543/(F65-0)&lt;0.005,"*",100*200543/(F65-0)),0)</f>
        <v>4.5093740014890109</v>
      </c>
    </row>
    <row r="37" spans="1:7" x14ac:dyDescent="0.2">
      <c r="A37" s="11" t="s">
        <v>138</v>
      </c>
      <c r="B37" s="17">
        <v>30593</v>
      </c>
      <c r="C37" s="17">
        <v>0</v>
      </c>
      <c r="D37" s="17">
        <v>31015</v>
      </c>
      <c r="E37" s="17">
        <v>31015</v>
      </c>
      <c r="F37" s="17">
        <v>30677</v>
      </c>
      <c r="G37" s="18">
        <f>IF(AND(F65&lt;&gt;0,30677&lt;&gt;0),IF(100*30677/(F65-0)&lt;0.005,"*",100*30677/(F65-0)),0)</f>
        <v>0.68979753092193885</v>
      </c>
    </row>
    <row r="38" spans="1:7" x14ac:dyDescent="0.2">
      <c r="A38" s="11" t="s">
        <v>139</v>
      </c>
      <c r="B38" s="17">
        <v>285064</v>
      </c>
      <c r="C38" s="17">
        <v>0</v>
      </c>
      <c r="D38" s="17">
        <v>288993</v>
      </c>
      <c r="E38" s="17">
        <v>288993</v>
      </c>
      <c r="F38" s="17">
        <v>285849</v>
      </c>
      <c r="G38" s="18">
        <f>IF(AND(F65&lt;&gt;0,285849&lt;&gt;0),IF(100*285849/(F65-0)&lt;0.005,"*",100*285849/(F65-0)),0)</f>
        <v>6.4275494480068227</v>
      </c>
    </row>
    <row r="39" spans="1:7" x14ac:dyDescent="0.2">
      <c r="A39" s="11" t="s">
        <v>140</v>
      </c>
      <c r="B39" s="17">
        <v>107403</v>
      </c>
      <c r="C39" s="17">
        <v>0</v>
      </c>
      <c r="D39" s="17">
        <v>108883</v>
      </c>
      <c r="E39" s="17">
        <v>108883</v>
      </c>
      <c r="F39" s="17">
        <v>107698</v>
      </c>
      <c r="G39" s="18">
        <f>IF(AND(F65&lt;&gt;0,107698&lt;&gt;0),IF(100*107698/(F65-0)&lt;0.005,"*",100*107698/(F65-0)),0)</f>
        <v>2.4216779504264099</v>
      </c>
    </row>
    <row r="40" spans="1:7" x14ac:dyDescent="0.2">
      <c r="A40" s="11" t="s">
        <v>141</v>
      </c>
      <c r="B40" s="17">
        <v>16215</v>
      </c>
      <c r="C40" s="17">
        <v>0</v>
      </c>
      <c r="D40" s="17">
        <v>16438</v>
      </c>
      <c r="E40" s="17">
        <v>16438</v>
      </c>
      <c r="F40" s="17">
        <v>16259</v>
      </c>
      <c r="G40" s="18">
        <f>IF(AND(F65&lt;&gt;0,16259&lt;&gt;0),IF(100*16259/(F65-0)&lt;0.005,"*",100*16259/(F65-0)),0)</f>
        <v>0.36559696369461825</v>
      </c>
    </row>
    <row r="41" spans="1:7" x14ac:dyDescent="0.2">
      <c r="A41" s="11" t="s">
        <v>142</v>
      </c>
      <c r="B41" s="17">
        <v>201643</v>
      </c>
      <c r="C41" s="17">
        <v>0</v>
      </c>
      <c r="D41" s="17">
        <v>204423</v>
      </c>
      <c r="E41" s="17">
        <v>204423</v>
      </c>
      <c r="F41" s="17">
        <v>202198</v>
      </c>
      <c r="G41" s="18">
        <f>IF(AND(F65&lt;&gt;0,202198&lt;&gt;0),IF(100*202198/(F65-0)&lt;0.005,"*",100*202198/(F65-0)),0)</f>
        <v>4.5465880352496724</v>
      </c>
    </row>
    <row r="42" spans="1:7" x14ac:dyDescent="0.2">
      <c r="A42" s="11" t="s">
        <v>143</v>
      </c>
      <c r="B42" s="17">
        <v>57163</v>
      </c>
      <c r="C42" s="17">
        <v>0</v>
      </c>
      <c r="D42" s="17">
        <v>57950</v>
      </c>
      <c r="E42" s="17">
        <v>57950</v>
      </c>
      <c r="F42" s="17">
        <v>57320</v>
      </c>
      <c r="G42" s="18">
        <f>IF(AND(F65&lt;&gt;0,57320&lt;&gt;0),IF(100*57320/(F65-0)&lt;0.005,"*",100*57320/(F65-0)),0)</f>
        <v>1.2888872599160783</v>
      </c>
    </row>
    <row r="43" spans="1:7" x14ac:dyDescent="0.2">
      <c r="A43" s="11" t="s">
        <v>144</v>
      </c>
      <c r="B43" s="17">
        <v>73523</v>
      </c>
      <c r="C43" s="17">
        <v>0</v>
      </c>
      <c r="D43" s="17">
        <v>74536</v>
      </c>
      <c r="E43" s="17">
        <v>74536</v>
      </c>
      <c r="F43" s="17">
        <v>73725</v>
      </c>
      <c r="G43" s="18">
        <f>IF(AND(F65&lt;&gt;0,73725&lt;&gt;0),IF(100*73725/(F65-0)&lt;0.005,"*",100*73725/(F65-0)),0)</f>
        <v>1.6577671534771961</v>
      </c>
    </row>
    <row r="44" spans="1:7" x14ac:dyDescent="0.2">
      <c r="A44" s="11" t="s">
        <v>145</v>
      </c>
      <c r="B44" s="17">
        <v>170625</v>
      </c>
      <c r="C44" s="17">
        <v>0</v>
      </c>
      <c r="D44" s="17">
        <v>172976</v>
      </c>
      <c r="E44" s="17">
        <v>172976</v>
      </c>
      <c r="F44" s="17">
        <v>171094</v>
      </c>
      <c r="G44" s="18">
        <f>IF(AND(F65&lt;&gt;0,171094&lt;&gt;0),IF(100*171094/(F65-0)&lt;0.005,"*",100*171094/(F65-0)),0)</f>
        <v>3.8471890587592728</v>
      </c>
    </row>
    <row r="45" spans="1:7" x14ac:dyDescent="0.2">
      <c r="A45" s="11" t="s">
        <v>146</v>
      </c>
      <c r="B45" s="17">
        <v>10672</v>
      </c>
      <c r="C45" s="17">
        <v>0</v>
      </c>
      <c r="D45" s="17">
        <v>10819</v>
      </c>
      <c r="E45" s="17">
        <v>10819</v>
      </c>
      <c r="F45" s="17">
        <v>10701</v>
      </c>
      <c r="G45" s="18">
        <f>IF(AND(F65&lt;&gt;0,10701&lt;&gt;0),IF(100*10701/(F65-0)&lt;0.005,"*",100*10701/(F65-0)),0)</f>
        <v>0.24062077055760564</v>
      </c>
    </row>
    <row r="46" spans="1:7" x14ac:dyDescent="0.2">
      <c r="A46" s="11" t="s">
        <v>147</v>
      </c>
      <c r="B46" s="17">
        <v>42831</v>
      </c>
      <c r="C46" s="17">
        <v>0</v>
      </c>
      <c r="D46" s="17">
        <v>43421</v>
      </c>
      <c r="E46" s="17">
        <v>43421</v>
      </c>
      <c r="F46" s="17">
        <v>42948</v>
      </c>
      <c r="G46" s="18">
        <f>IF(AND(F65&lt;&gt;0,42948&lt;&gt;0),IF(100*42948/(F65-0)&lt;0.005,"*",100*42948/(F65-0)),0)</f>
        <v>0.96572104045491514</v>
      </c>
    </row>
    <row r="47" spans="1:7" x14ac:dyDescent="0.2">
      <c r="A47" s="11" t="s">
        <v>148</v>
      </c>
      <c r="B47" s="17">
        <v>8783</v>
      </c>
      <c r="C47" s="17">
        <v>0</v>
      </c>
      <c r="D47" s="17">
        <v>8904</v>
      </c>
      <c r="E47" s="17">
        <v>8904</v>
      </c>
      <c r="F47" s="17">
        <v>8807</v>
      </c>
      <c r="G47" s="18">
        <f>IF(AND(F65&lt;&gt;0,8807&lt;&gt;0),IF(100*8807/(F65-0)&lt;0.005,"*",100*8807/(F65-0)),0)</f>
        <v>0.1980326255771267</v>
      </c>
    </row>
    <row r="48" spans="1:7" x14ac:dyDescent="0.2">
      <c r="A48" s="11" t="s">
        <v>149</v>
      </c>
      <c r="B48" s="17">
        <v>84621</v>
      </c>
      <c r="C48" s="17">
        <v>0</v>
      </c>
      <c r="D48" s="17">
        <v>85787</v>
      </c>
      <c r="E48" s="17">
        <v>85787</v>
      </c>
      <c r="F48" s="17">
        <v>84854</v>
      </c>
      <c r="G48" s="18">
        <f>IF(AND(F65&lt;&gt;0,84854&lt;&gt;0),IF(100*84854/(F65-0)&lt;0.005,"*",100*84854/(F65-0)),0)</f>
        <v>1.9080118554242658</v>
      </c>
    </row>
    <row r="49" spans="1:7" x14ac:dyDescent="0.2">
      <c r="A49" s="11" t="s">
        <v>150</v>
      </c>
      <c r="B49" s="17">
        <v>306069</v>
      </c>
      <c r="C49" s="17">
        <v>0</v>
      </c>
      <c r="D49" s="17">
        <v>310288</v>
      </c>
      <c r="E49" s="17">
        <v>310288</v>
      </c>
      <c r="F49" s="17">
        <v>306912</v>
      </c>
      <c r="G49" s="18">
        <f>IF(AND(F65&lt;&gt;0,306912&lt;&gt;0),IF(100*306912/(F65-0)&lt;0.005,"*",100*306912/(F65-0)),0)</f>
        <v>6.9011682958018747</v>
      </c>
    </row>
    <row r="50" spans="1:7" x14ac:dyDescent="0.2">
      <c r="A50" s="11" t="s">
        <v>151</v>
      </c>
      <c r="B50" s="17">
        <v>28073</v>
      </c>
      <c r="C50" s="17">
        <v>0</v>
      </c>
      <c r="D50" s="17">
        <v>28460</v>
      </c>
      <c r="E50" s="17">
        <v>28460</v>
      </c>
      <c r="F50" s="17">
        <v>28150</v>
      </c>
      <c r="G50" s="18">
        <f>IF(AND(F65&lt;&gt;0,28150&lt;&gt;0),IF(100*28150/(F65-0)&lt;0.005,"*",100*28150/(F65-0)),0)</f>
        <v>0.63297586124629457</v>
      </c>
    </row>
    <row r="51" spans="1:7" x14ac:dyDescent="0.2">
      <c r="A51" s="11" t="s">
        <v>152</v>
      </c>
      <c r="B51" s="17">
        <v>11229</v>
      </c>
      <c r="C51" s="17">
        <v>0</v>
      </c>
      <c r="D51" s="17">
        <v>11383</v>
      </c>
      <c r="E51" s="17">
        <v>11383</v>
      </c>
      <c r="F51" s="17">
        <v>11260</v>
      </c>
      <c r="G51" s="18">
        <f>IF(AND(F65&lt;&gt;0,11260&lt;&gt;0),IF(100*11260/(F65-0)&lt;0.005,"*",100*11260/(F65-0)),0)</f>
        <v>0.25319034449851785</v>
      </c>
    </row>
    <row r="52" spans="1:7" x14ac:dyDescent="0.2">
      <c r="A52" s="11" t="s">
        <v>153</v>
      </c>
      <c r="B52" s="17">
        <v>79524</v>
      </c>
      <c r="C52" s="17">
        <v>0</v>
      </c>
      <c r="D52" s="17">
        <v>80620</v>
      </c>
      <c r="E52" s="17">
        <v>80620</v>
      </c>
      <c r="F52" s="17">
        <v>79743</v>
      </c>
      <c r="G52" s="18">
        <f>IF(AND(F65&lt;&gt;0,79743&lt;&gt;0),IF(100*79743/(F65-0)&lt;0.005,"*",100*79743/(F65-0)),0)</f>
        <v>1.7930868242757823</v>
      </c>
    </row>
    <row r="53" spans="1:7" x14ac:dyDescent="0.2">
      <c r="A53" s="11" t="s">
        <v>154</v>
      </c>
      <c r="B53" s="17">
        <v>125853</v>
      </c>
      <c r="C53" s="17">
        <v>0</v>
      </c>
      <c r="D53" s="17">
        <v>127587</v>
      </c>
      <c r="E53" s="17">
        <v>127587</v>
      </c>
      <c r="F53" s="17">
        <v>126199</v>
      </c>
      <c r="G53" s="18">
        <f>IF(AND(F65&lt;&gt;0,126199&lt;&gt;0),IF(100*126199/(F65-0)&lt;0.005,"*",100*126199/(F65-0)),0)</f>
        <v>2.8376881248106973</v>
      </c>
    </row>
    <row r="54" spans="1:7" x14ac:dyDescent="0.2">
      <c r="A54" s="11" t="s">
        <v>155</v>
      </c>
      <c r="B54" s="17">
        <v>31033</v>
      </c>
      <c r="C54" s="17">
        <v>0</v>
      </c>
      <c r="D54" s="17">
        <v>31460</v>
      </c>
      <c r="E54" s="17">
        <v>31460</v>
      </c>
      <c r="F54" s="17">
        <v>31118</v>
      </c>
      <c r="G54" s="18">
        <f>IF(AND(F65&lt;&gt;0,31118&lt;&gt;0),IF(100*31118/(F65-0)&lt;0.005,"*",100*31118/(F65-0)),0)</f>
        <v>0.69971377798444745</v>
      </c>
    </row>
    <row r="55" spans="1:7" x14ac:dyDescent="0.2">
      <c r="A55" s="11" t="s">
        <v>156</v>
      </c>
      <c r="B55" s="17">
        <v>95351</v>
      </c>
      <c r="C55" s="17">
        <v>0</v>
      </c>
      <c r="D55" s="17">
        <v>96665</v>
      </c>
      <c r="E55" s="17">
        <v>96665</v>
      </c>
      <c r="F55" s="17">
        <v>95613</v>
      </c>
      <c r="G55" s="18">
        <f>IF(AND(F65&lt;&gt;0,95613&lt;&gt;0),IF(100*95613/(F65-0)&lt;0.005,"*",100*95613/(F65-0)),0)</f>
        <v>2.1499368036000699</v>
      </c>
    </row>
    <row r="56" spans="1:7" x14ac:dyDescent="0.2">
      <c r="A56" s="11" t="s">
        <v>157</v>
      </c>
      <c r="B56" s="17">
        <v>8537</v>
      </c>
      <c r="C56" s="17">
        <v>0</v>
      </c>
      <c r="D56" s="17">
        <v>8654</v>
      </c>
      <c r="E56" s="17">
        <v>8654</v>
      </c>
      <c r="F56" s="17">
        <v>8560</v>
      </c>
      <c r="G56" s="18">
        <f>IF(AND(F65&lt;&gt;0,8560&lt;&gt;0),IF(100*8560/(F65-0)&lt;0.005,"*",100*8560/(F65-0)),0)</f>
        <v>0.19247862778928176</v>
      </c>
    </row>
    <row r="57" spans="1:7" x14ac:dyDescent="0.2">
      <c r="A57" s="11" t="s">
        <v>158</v>
      </c>
      <c r="B57" s="17">
        <v>0</v>
      </c>
      <c r="C57" s="17">
        <v>0</v>
      </c>
      <c r="D57" s="17">
        <v>0</v>
      </c>
      <c r="E57" s="17">
        <v>0</v>
      </c>
      <c r="F57" s="17">
        <v>0</v>
      </c>
      <c r="G57" s="18">
        <f>IF(AND(F65&lt;&gt;0,0&lt;&gt;0),IF(100*0/(F65-0)&lt;0.005,"*",100*0/(F65-0)),0)</f>
        <v>0</v>
      </c>
    </row>
    <row r="58" spans="1:7" x14ac:dyDescent="0.2">
      <c r="A58" s="11" t="s">
        <v>159</v>
      </c>
      <c r="B58" s="17">
        <v>5749</v>
      </c>
      <c r="C58" s="17">
        <v>0</v>
      </c>
      <c r="D58" s="17">
        <v>5829</v>
      </c>
      <c r="E58" s="17">
        <v>5829</v>
      </c>
      <c r="F58" s="17">
        <v>5765</v>
      </c>
      <c r="G58" s="18">
        <f>IF(AND(F65&lt;&gt;0,5765&lt;&gt;0),IF(100*5765/(F65-0)&lt;0.005,"*",100*5765/(F65-0)),0)</f>
        <v>0.12963075808472072</v>
      </c>
    </row>
    <row r="59" spans="1:7" x14ac:dyDescent="0.2">
      <c r="A59" s="11" t="s">
        <v>160</v>
      </c>
      <c r="B59" s="17">
        <v>0</v>
      </c>
      <c r="C59" s="17">
        <v>0</v>
      </c>
      <c r="D59" s="17">
        <v>0</v>
      </c>
      <c r="E59" s="17">
        <v>0</v>
      </c>
      <c r="F59" s="17">
        <v>0</v>
      </c>
      <c r="G59" s="18">
        <f>IF(AND(F65&lt;&gt;0,0&lt;&gt;0),IF(100*0/(F65-0)&lt;0.005,"*",100*0/(F65-0)),0)</f>
        <v>0</v>
      </c>
    </row>
    <row r="60" spans="1:7" x14ac:dyDescent="0.2">
      <c r="A60" s="11" t="s">
        <v>161</v>
      </c>
      <c r="B60" s="17">
        <v>26667</v>
      </c>
      <c r="C60" s="17">
        <v>0</v>
      </c>
      <c r="D60" s="17">
        <v>27034</v>
      </c>
      <c r="E60" s="17">
        <v>27034</v>
      </c>
      <c r="F60" s="17">
        <v>26740</v>
      </c>
      <c r="G60" s="18">
        <f>IF(AND(F65&lt;&gt;0,26740&lt;&gt;0),IF(100*26740/(F65-0)&lt;0.005,"*",100*26740/(F65-0)),0)</f>
        <v>0.60127085363147137</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3877</v>
      </c>
      <c r="C62" s="17">
        <v>0</v>
      </c>
      <c r="D62" s="17">
        <v>3930</v>
      </c>
      <c r="E62" s="17">
        <v>3930</v>
      </c>
      <c r="F62" s="17">
        <v>3888</v>
      </c>
      <c r="G62" s="18">
        <f>IF(AND(F65&lt;&gt;0,3888&lt;&gt;0),IF(100*3888/(F65-0)&lt;0.005,"*",100*3888/(F65-0)),0)</f>
        <v>8.7424872061299952E-2</v>
      </c>
    </row>
    <row r="63" spans="1:7" x14ac:dyDescent="0.2">
      <c r="A63" s="11" t="s">
        <v>164</v>
      </c>
      <c r="B63" s="17">
        <v>49686</v>
      </c>
      <c r="C63" s="17">
        <v>0</v>
      </c>
      <c r="D63" s="17">
        <v>50730</v>
      </c>
      <c r="E63" s="17">
        <v>50730</v>
      </c>
      <c r="F63" s="17">
        <v>51693</v>
      </c>
      <c r="G63" s="18">
        <f>IF(AND(F65&lt;&gt;0,51693&lt;&gt;0),IF(100*51693/(F65-0)&lt;0.005,"*",100*51693/(F65-0)),0)</f>
        <v>1.1623595451298299</v>
      </c>
    </row>
    <row r="64" spans="1:7" x14ac:dyDescent="0.2">
      <c r="A64" s="11" t="s">
        <v>165</v>
      </c>
      <c r="B64" s="17">
        <v>0</v>
      </c>
      <c r="C64" s="17">
        <v>0</v>
      </c>
      <c r="D64" s="17">
        <v>0</v>
      </c>
      <c r="E64" s="17">
        <v>0</v>
      </c>
      <c r="F64" s="17">
        <v>0</v>
      </c>
      <c r="G64" s="18">
        <v>0</v>
      </c>
    </row>
    <row r="65" spans="1:7" ht="15" customHeight="1" x14ac:dyDescent="0.2">
      <c r="A65" s="19" t="s">
        <v>106</v>
      </c>
      <c r="B65" s="20">
        <f>59060+21626+47835+37062+677466+54993+55094+24575+18221+197126+82577+16787+23747+113775+76978+41560+29914+56944+64699+22067+87866+73039+170256+128160+26419+65261+13018+28129+42423+15737+199993+30593+285064+107403+16215+201643+57163+73523+170625+10672+42831+8783+84621+306069+28073+11229+79524+125853+31033+95351+8537+0+5749+0+26667+0+3877+49686+0+0</f>
        <v>4433191</v>
      </c>
      <c r="C65" s="20">
        <f>0+0+0+0+0+0+0+0+0+0+0+0+0+0+0+0+0+0+0+0+0+0+0+0+0+0+0+0+0+0+0+0+0+0+0+0+0+0+0+0+0+0+0+0+0+0+0+0+0+0+0+0+0+0+0+0+0+0+0+0</f>
        <v>0</v>
      </c>
      <c r="D65" s="20">
        <f>59874+21924+48494+37572+686802+55751+55853+24913+18472+199844+83715+17018+24074+115343+78038+42132+30326+57729+65591+22371+89077+74045+172601+129925+26783+66160+13197+28517+43007+15953+202749+31015+288993+108883+16438+204423+57950+74536+172976+10819+43421+8904+85787+310288+28460+11383+80620+127587+31460+96665+8654+0+5829+0+27034+0+3930+50730+0+0</f>
        <v>4494635</v>
      </c>
      <c r="E65" s="20">
        <f>SUM(C65:D65)</f>
        <v>4494635</v>
      </c>
      <c r="F65" s="20">
        <f>59222+21685+47966+37164+679330+55144+55245+24642+18271+197669+82804+16833+23812+114088+77189+41674+29996+57100+64877+22128+88107+73240+170724+128512+26492+65440+13053+28207+42539+15780+200543+30677+285849+107698+16259+202198+57320+73725+171094+10701+42948+8807+84854+306912+28150+11260+79743+126199+31118+95613+8560+0+5765+0+26740+0+3888+51693+0+0</f>
        <v>4447247</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204</v>
      </c>
    </row>
    <row r="2" spans="1:7" x14ac:dyDescent="0.2">
      <c r="A2" s="13" t="s">
        <v>205</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44702</v>
      </c>
      <c r="C6" s="17">
        <v>0</v>
      </c>
      <c r="D6" s="17">
        <v>44625</v>
      </c>
      <c r="E6" s="17">
        <v>44625</v>
      </c>
      <c r="F6" s="17">
        <v>0</v>
      </c>
      <c r="G6" s="18">
        <f>IF(AND(F66&lt;&gt;0,0&lt;&gt;0),IF(100*0/(F66-0)&lt;0.005,"*",100*0/(F66-0)),0)</f>
        <v>0</v>
      </c>
    </row>
    <row r="7" spans="1:7" x14ac:dyDescent="0.2">
      <c r="A7" s="11" t="s">
        <v>108</v>
      </c>
      <c r="B7" s="17">
        <v>10271</v>
      </c>
      <c r="C7" s="17">
        <v>0</v>
      </c>
      <c r="D7" s="17">
        <v>10114</v>
      </c>
      <c r="E7" s="17">
        <v>10114</v>
      </c>
      <c r="F7" s="17">
        <v>0</v>
      </c>
      <c r="G7" s="18">
        <f>IF(AND(F66&lt;&gt;0,0&lt;&gt;0),IF(100*0/(F66-0)&lt;0.005,"*",100*0/(F66-0)),0)</f>
        <v>0</v>
      </c>
    </row>
    <row r="8" spans="1:7" x14ac:dyDescent="0.2">
      <c r="A8" s="11" t="s">
        <v>109</v>
      </c>
      <c r="B8" s="17">
        <v>20759</v>
      </c>
      <c r="C8" s="17">
        <v>0</v>
      </c>
      <c r="D8" s="17">
        <v>20723</v>
      </c>
      <c r="E8" s="17">
        <v>20723</v>
      </c>
      <c r="F8" s="17">
        <v>0</v>
      </c>
      <c r="G8" s="18">
        <f>IF(AND(F66&lt;&gt;0,0&lt;&gt;0),IF(100*0/(F66-0)&lt;0.005,"*",100*0/(F66-0)),0)</f>
        <v>0</v>
      </c>
    </row>
    <row r="9" spans="1:7" x14ac:dyDescent="0.2">
      <c r="A9" s="11" t="s">
        <v>110</v>
      </c>
      <c r="B9" s="17">
        <v>26840</v>
      </c>
      <c r="C9" s="17">
        <v>0</v>
      </c>
      <c r="D9" s="17">
        <v>28839</v>
      </c>
      <c r="E9" s="17">
        <v>28839</v>
      </c>
      <c r="F9" s="17">
        <v>0</v>
      </c>
      <c r="G9" s="18">
        <f>IF(AND(F66&lt;&gt;0,0&lt;&gt;0),IF(100*0/(F66-0)&lt;0.005,"*",100*0/(F66-0)),0)</f>
        <v>0</v>
      </c>
    </row>
    <row r="10" spans="1:7" x14ac:dyDescent="0.2">
      <c r="A10" s="11" t="s">
        <v>111</v>
      </c>
      <c r="B10" s="17">
        <v>170818</v>
      </c>
      <c r="C10" s="17">
        <v>0</v>
      </c>
      <c r="D10" s="17">
        <v>176926</v>
      </c>
      <c r="E10" s="17">
        <v>176926</v>
      </c>
      <c r="F10" s="17">
        <v>0</v>
      </c>
      <c r="G10" s="18">
        <f>IF(AND(F66&lt;&gt;0,0&lt;&gt;0),IF(100*0/(F66-0)&lt;0.005,"*",100*0/(F66-0)),0)</f>
        <v>0</v>
      </c>
    </row>
    <row r="11" spans="1:7" x14ac:dyDescent="0.2">
      <c r="A11" s="11" t="s">
        <v>112</v>
      </c>
      <c r="B11" s="17">
        <v>51094</v>
      </c>
      <c r="C11" s="17">
        <v>0</v>
      </c>
      <c r="D11" s="17">
        <v>49153</v>
      </c>
      <c r="E11" s="17">
        <v>49153</v>
      </c>
      <c r="F11" s="17">
        <v>0</v>
      </c>
      <c r="G11" s="18">
        <f>IF(AND(F66&lt;&gt;0,0&lt;&gt;0),IF(100*0/(F66-0)&lt;0.005,"*",100*0/(F66-0)),0)</f>
        <v>0</v>
      </c>
    </row>
    <row r="12" spans="1:7" x14ac:dyDescent="0.2">
      <c r="A12" s="11" t="s">
        <v>113</v>
      </c>
      <c r="B12" s="17">
        <v>78781</v>
      </c>
      <c r="C12" s="17">
        <v>0</v>
      </c>
      <c r="D12" s="17">
        <v>74727</v>
      </c>
      <c r="E12" s="17">
        <v>74727</v>
      </c>
      <c r="F12" s="17">
        <v>0</v>
      </c>
      <c r="G12" s="18">
        <f>IF(AND(F66&lt;&gt;0,0&lt;&gt;0),IF(100*0/(F66-0)&lt;0.005,"*",100*0/(F66-0)),0)</f>
        <v>0</v>
      </c>
    </row>
    <row r="13" spans="1:7" x14ac:dyDescent="0.2">
      <c r="A13" s="11" t="s">
        <v>114</v>
      </c>
      <c r="B13" s="17">
        <v>12045</v>
      </c>
      <c r="C13" s="17">
        <v>0</v>
      </c>
      <c r="D13" s="17">
        <v>12648</v>
      </c>
      <c r="E13" s="17">
        <v>12648</v>
      </c>
      <c r="F13" s="17">
        <v>0</v>
      </c>
      <c r="G13" s="18">
        <f>IF(AND(F66&lt;&gt;0,0&lt;&gt;0),IF(100*0/(F66-0)&lt;0.005,"*",100*0/(F66-0)),0)</f>
        <v>0</v>
      </c>
    </row>
    <row r="14" spans="1:7" x14ac:dyDescent="0.2">
      <c r="A14" s="11" t="s">
        <v>115</v>
      </c>
      <c r="B14" s="17">
        <v>10393</v>
      </c>
      <c r="C14" s="17">
        <v>0</v>
      </c>
      <c r="D14" s="17">
        <v>10307</v>
      </c>
      <c r="E14" s="17">
        <v>10307</v>
      </c>
      <c r="F14" s="17">
        <v>0</v>
      </c>
      <c r="G14" s="18">
        <f>IF(AND(F66&lt;&gt;0,0&lt;&gt;0),IF(100*0/(F66-0)&lt;0.005,"*",100*0/(F66-0)),0)</f>
        <v>0</v>
      </c>
    </row>
    <row r="15" spans="1:7" x14ac:dyDescent="0.2">
      <c r="A15" s="11" t="s">
        <v>116</v>
      </c>
      <c r="B15" s="17">
        <v>71144</v>
      </c>
      <c r="C15" s="17">
        <v>0</v>
      </c>
      <c r="D15" s="17">
        <v>71022</v>
      </c>
      <c r="E15" s="17">
        <v>71022</v>
      </c>
      <c r="F15" s="17">
        <v>0</v>
      </c>
      <c r="G15" s="18">
        <f>IF(AND(F66&lt;&gt;0,0&lt;&gt;0),IF(100*0/(F66-0)&lt;0.005,"*",100*0/(F66-0)),0)</f>
        <v>0</v>
      </c>
    </row>
    <row r="16" spans="1:7" x14ac:dyDescent="0.2">
      <c r="A16" s="11" t="s">
        <v>117</v>
      </c>
      <c r="B16" s="17">
        <v>56259</v>
      </c>
      <c r="C16" s="17">
        <v>0</v>
      </c>
      <c r="D16" s="17">
        <v>56162</v>
      </c>
      <c r="E16" s="17">
        <v>56162</v>
      </c>
      <c r="F16" s="17">
        <v>0</v>
      </c>
      <c r="G16" s="18">
        <f>IF(AND(F66&lt;&gt;0,0&lt;&gt;0),IF(100*0/(F66-0)&lt;0.005,"*",100*0/(F66-0)),0)</f>
        <v>0</v>
      </c>
    </row>
    <row r="17" spans="1:7" x14ac:dyDescent="0.2">
      <c r="A17" s="11" t="s">
        <v>118</v>
      </c>
      <c r="B17" s="17">
        <v>5147</v>
      </c>
      <c r="C17" s="17">
        <v>0</v>
      </c>
      <c r="D17" s="17">
        <v>4635</v>
      </c>
      <c r="E17" s="17">
        <v>4635</v>
      </c>
      <c r="F17" s="17">
        <v>0</v>
      </c>
      <c r="G17" s="18">
        <f>IF(AND(F66&lt;&gt;0,0&lt;&gt;0),IF(100*0/(F66-0)&lt;0.005,"*",100*0/(F66-0)),0)</f>
        <v>0</v>
      </c>
    </row>
    <row r="18" spans="1:7" x14ac:dyDescent="0.2">
      <c r="A18" s="11" t="s">
        <v>119</v>
      </c>
      <c r="B18" s="17">
        <v>19039</v>
      </c>
      <c r="C18" s="17">
        <v>0</v>
      </c>
      <c r="D18" s="17">
        <v>18882</v>
      </c>
      <c r="E18" s="17">
        <v>18882</v>
      </c>
      <c r="F18" s="17">
        <v>0</v>
      </c>
      <c r="G18" s="18">
        <f>IF(AND(F66&lt;&gt;0,0&lt;&gt;0),IF(100*0/(F66-0)&lt;0.005,"*",100*0/(F66-0)),0)</f>
        <v>0</v>
      </c>
    </row>
    <row r="19" spans="1:7" x14ac:dyDescent="0.2">
      <c r="A19" s="11" t="s">
        <v>120</v>
      </c>
      <c r="B19" s="17">
        <v>167585</v>
      </c>
      <c r="C19" s="17">
        <v>0</v>
      </c>
      <c r="D19" s="17">
        <v>166066</v>
      </c>
      <c r="E19" s="17">
        <v>166066</v>
      </c>
      <c r="F19" s="17">
        <v>0</v>
      </c>
      <c r="G19" s="18">
        <f>IF(AND(F66&lt;&gt;0,0&lt;&gt;0),IF(100*0/(F66-0)&lt;0.005,"*",100*0/(F66-0)),0)</f>
        <v>0</v>
      </c>
    </row>
    <row r="20" spans="1:7" x14ac:dyDescent="0.2">
      <c r="A20" s="11" t="s">
        <v>121</v>
      </c>
      <c r="B20" s="17">
        <v>75871</v>
      </c>
      <c r="C20" s="17">
        <v>0</v>
      </c>
      <c r="D20" s="17">
        <v>75183</v>
      </c>
      <c r="E20" s="17">
        <v>75183</v>
      </c>
      <c r="F20" s="17">
        <v>0</v>
      </c>
      <c r="G20" s="18">
        <f>IF(AND(F66&lt;&gt;0,0&lt;&gt;0),IF(100*0/(F66-0)&lt;0.005,"*",100*0/(F66-0)),0)</f>
        <v>0</v>
      </c>
    </row>
    <row r="21" spans="1:7" x14ac:dyDescent="0.2">
      <c r="A21" s="11" t="s">
        <v>122</v>
      </c>
      <c r="B21" s="17">
        <v>53776</v>
      </c>
      <c r="C21" s="17">
        <v>0</v>
      </c>
      <c r="D21" s="17">
        <v>53288</v>
      </c>
      <c r="E21" s="17">
        <v>53288</v>
      </c>
      <c r="F21" s="17">
        <v>0</v>
      </c>
      <c r="G21" s="18">
        <f>IF(AND(F66&lt;&gt;0,0&lt;&gt;0),IF(100*0/(F66-0)&lt;0.005,"*",100*0/(F66-0)),0)</f>
        <v>0</v>
      </c>
    </row>
    <row r="22" spans="1:7" x14ac:dyDescent="0.2">
      <c r="A22" s="11" t="s">
        <v>123</v>
      </c>
      <c r="B22" s="17">
        <v>33589</v>
      </c>
      <c r="C22" s="17">
        <v>0</v>
      </c>
      <c r="D22" s="17">
        <v>33488</v>
      </c>
      <c r="E22" s="17">
        <v>33488</v>
      </c>
      <c r="F22" s="17">
        <v>0</v>
      </c>
      <c r="G22" s="18">
        <f>IF(AND(F66&lt;&gt;0,0&lt;&gt;0),IF(100*0/(F66-0)&lt;0.005,"*",100*0/(F66-0)),0)</f>
        <v>0</v>
      </c>
    </row>
    <row r="23" spans="1:7" x14ac:dyDescent="0.2">
      <c r="A23" s="11" t="s">
        <v>124</v>
      </c>
      <c r="B23" s="17">
        <v>48679</v>
      </c>
      <c r="C23" s="17">
        <v>0</v>
      </c>
      <c r="D23" s="17">
        <v>49587</v>
      </c>
      <c r="E23" s="17">
        <v>49587</v>
      </c>
      <c r="F23" s="17">
        <v>0</v>
      </c>
      <c r="G23" s="18">
        <f>IF(AND(F66&lt;&gt;0,0&lt;&gt;0),IF(100*0/(F66-0)&lt;0.005,"*",100*0/(F66-0)),0)</f>
        <v>0</v>
      </c>
    </row>
    <row r="24" spans="1:7" x14ac:dyDescent="0.2">
      <c r="A24" s="11" t="s">
        <v>125</v>
      </c>
      <c r="B24" s="17">
        <v>42491</v>
      </c>
      <c r="C24" s="17">
        <v>0</v>
      </c>
      <c r="D24" s="17">
        <v>44592</v>
      </c>
      <c r="E24" s="17">
        <v>44592</v>
      </c>
      <c r="F24" s="17">
        <v>0</v>
      </c>
      <c r="G24" s="18">
        <f>IF(AND(F66&lt;&gt;0,0&lt;&gt;0),IF(100*0/(F66-0)&lt;0.005,"*",100*0/(F66-0)),0)</f>
        <v>0</v>
      </c>
    </row>
    <row r="25" spans="1:7" x14ac:dyDescent="0.2">
      <c r="A25" s="11" t="s">
        <v>126</v>
      </c>
      <c r="B25" s="17">
        <v>37792</v>
      </c>
      <c r="C25" s="17">
        <v>0</v>
      </c>
      <c r="D25" s="17">
        <v>37449</v>
      </c>
      <c r="E25" s="17">
        <v>37449</v>
      </c>
      <c r="F25" s="17">
        <v>0</v>
      </c>
      <c r="G25" s="18">
        <f>IF(AND(F66&lt;&gt;0,0&lt;&gt;0),IF(100*0/(F66-0)&lt;0.005,"*",100*0/(F66-0)),0)</f>
        <v>0</v>
      </c>
    </row>
    <row r="26" spans="1:7" x14ac:dyDescent="0.2">
      <c r="A26" s="11" t="s">
        <v>127</v>
      </c>
      <c r="B26" s="17">
        <v>74104</v>
      </c>
      <c r="C26" s="17">
        <v>0</v>
      </c>
      <c r="D26" s="17">
        <v>75674</v>
      </c>
      <c r="E26" s="17">
        <v>75674</v>
      </c>
      <c r="F26" s="17">
        <v>0</v>
      </c>
      <c r="G26" s="18">
        <f>IF(AND(F66&lt;&gt;0,0&lt;&gt;0),IF(100*0/(F66-0)&lt;0.005,"*",100*0/(F66-0)),0)</f>
        <v>0</v>
      </c>
    </row>
    <row r="27" spans="1:7" x14ac:dyDescent="0.2">
      <c r="A27" s="11" t="s">
        <v>128</v>
      </c>
      <c r="B27" s="17">
        <v>147261</v>
      </c>
      <c r="C27" s="17">
        <v>0</v>
      </c>
      <c r="D27" s="17">
        <v>136486</v>
      </c>
      <c r="E27" s="17">
        <v>136486</v>
      </c>
      <c r="F27" s="17">
        <v>0</v>
      </c>
      <c r="G27" s="18">
        <f>IF(AND(F66&lt;&gt;0,0&lt;&gt;0),IF(100*0/(F66-0)&lt;0.005,"*",100*0/(F66-0)),0)</f>
        <v>0</v>
      </c>
    </row>
    <row r="28" spans="1:7" x14ac:dyDescent="0.2">
      <c r="A28" s="11" t="s">
        <v>129</v>
      </c>
      <c r="B28" s="17">
        <v>158040</v>
      </c>
      <c r="C28" s="17">
        <v>0</v>
      </c>
      <c r="D28" s="17">
        <v>156604</v>
      </c>
      <c r="E28" s="17">
        <v>156604</v>
      </c>
      <c r="F28" s="17">
        <v>0</v>
      </c>
      <c r="G28" s="18">
        <f>IF(AND(F66&lt;&gt;0,0&lt;&gt;0),IF(100*0/(F66-0)&lt;0.005,"*",100*0/(F66-0)),0)</f>
        <v>0</v>
      </c>
    </row>
    <row r="29" spans="1:7" x14ac:dyDescent="0.2">
      <c r="A29" s="11" t="s">
        <v>130</v>
      </c>
      <c r="B29" s="17">
        <v>114628</v>
      </c>
      <c r="C29" s="17">
        <v>0</v>
      </c>
      <c r="D29" s="17">
        <v>113589</v>
      </c>
      <c r="E29" s="17">
        <v>113589</v>
      </c>
      <c r="F29" s="17">
        <v>0</v>
      </c>
      <c r="G29" s="18">
        <f>IF(AND(F66&lt;&gt;0,0&lt;&gt;0),IF(100*0/(F66-0)&lt;0.005,"*",100*0/(F66-0)),0)</f>
        <v>0</v>
      </c>
    </row>
    <row r="30" spans="1:7" x14ac:dyDescent="0.2">
      <c r="A30" s="11" t="s">
        <v>131</v>
      </c>
      <c r="B30" s="17">
        <v>29710</v>
      </c>
      <c r="C30" s="17">
        <v>0</v>
      </c>
      <c r="D30" s="17">
        <v>30122</v>
      </c>
      <c r="E30" s="17">
        <v>30122</v>
      </c>
      <c r="F30" s="17">
        <v>0</v>
      </c>
      <c r="G30" s="18">
        <f>IF(AND(F66&lt;&gt;0,0&lt;&gt;0),IF(100*0/(F66-0)&lt;0.005,"*",100*0/(F66-0)),0)</f>
        <v>0</v>
      </c>
    </row>
    <row r="31" spans="1:7" x14ac:dyDescent="0.2">
      <c r="A31" s="11" t="s">
        <v>132</v>
      </c>
      <c r="B31" s="17">
        <v>73694</v>
      </c>
      <c r="C31" s="17">
        <v>0</v>
      </c>
      <c r="D31" s="17">
        <v>74944</v>
      </c>
      <c r="E31" s="17">
        <v>74944</v>
      </c>
      <c r="F31" s="17">
        <v>0</v>
      </c>
      <c r="G31" s="18">
        <f>IF(AND(F66&lt;&gt;0,0&lt;&gt;0),IF(100*0/(F66-0)&lt;0.005,"*",100*0/(F66-0)),0)</f>
        <v>0</v>
      </c>
    </row>
    <row r="32" spans="1:7" x14ac:dyDescent="0.2">
      <c r="A32" s="11" t="s">
        <v>133</v>
      </c>
      <c r="B32" s="17">
        <v>19367</v>
      </c>
      <c r="C32" s="17">
        <v>0</v>
      </c>
      <c r="D32" s="17">
        <v>19208</v>
      </c>
      <c r="E32" s="17">
        <v>19208</v>
      </c>
      <c r="F32" s="17">
        <v>0</v>
      </c>
      <c r="G32" s="18">
        <f>IF(AND(F66&lt;&gt;0,0&lt;&gt;0),IF(100*0/(F66-0)&lt;0.005,"*",100*0/(F66-0)),0)</f>
        <v>0</v>
      </c>
    </row>
    <row r="33" spans="1:7" x14ac:dyDescent="0.2">
      <c r="A33" s="11" t="s">
        <v>134</v>
      </c>
      <c r="B33" s="17">
        <v>29375</v>
      </c>
      <c r="C33" s="17">
        <v>0</v>
      </c>
      <c r="D33" s="17">
        <v>29134</v>
      </c>
      <c r="E33" s="17">
        <v>29134</v>
      </c>
      <c r="F33" s="17">
        <v>0</v>
      </c>
      <c r="G33" s="18">
        <f>IF(AND(F66&lt;&gt;0,0&lt;&gt;0),IF(100*0/(F66-0)&lt;0.005,"*",100*0/(F66-0)),0)</f>
        <v>0</v>
      </c>
    </row>
    <row r="34" spans="1:7" x14ac:dyDescent="0.2">
      <c r="A34" s="11" t="s">
        <v>135</v>
      </c>
      <c r="B34" s="17">
        <v>10214</v>
      </c>
      <c r="C34" s="17">
        <v>0</v>
      </c>
      <c r="D34" s="17">
        <v>10197</v>
      </c>
      <c r="E34" s="17">
        <v>10197</v>
      </c>
      <c r="F34" s="17">
        <v>0</v>
      </c>
      <c r="G34" s="18">
        <f>IF(AND(F66&lt;&gt;0,0&lt;&gt;0),IF(100*0/(F66-0)&lt;0.005,"*",100*0/(F66-0)),0)</f>
        <v>0</v>
      </c>
    </row>
    <row r="35" spans="1:7" x14ac:dyDescent="0.2">
      <c r="A35" s="11" t="s">
        <v>136</v>
      </c>
      <c r="B35" s="17">
        <v>28572</v>
      </c>
      <c r="C35" s="17">
        <v>0</v>
      </c>
      <c r="D35" s="17">
        <v>25886</v>
      </c>
      <c r="E35" s="17">
        <v>25886</v>
      </c>
      <c r="F35" s="17">
        <v>0</v>
      </c>
      <c r="G35" s="18">
        <f>IF(AND(F66&lt;&gt;0,0&lt;&gt;0),IF(100*0/(F66-0)&lt;0.005,"*",100*0/(F66-0)),0)</f>
        <v>0</v>
      </c>
    </row>
    <row r="36" spans="1:7" x14ac:dyDescent="0.2">
      <c r="A36" s="11" t="s">
        <v>137</v>
      </c>
      <c r="B36" s="17">
        <v>120269</v>
      </c>
      <c r="C36" s="17">
        <v>0</v>
      </c>
      <c r="D36" s="17">
        <v>117768</v>
      </c>
      <c r="E36" s="17">
        <v>117768</v>
      </c>
      <c r="F36" s="17">
        <v>0</v>
      </c>
      <c r="G36" s="18">
        <f>IF(AND(F66&lt;&gt;0,0&lt;&gt;0),IF(100*0/(F66-0)&lt;0.005,"*",100*0/(F66-0)),0)</f>
        <v>0</v>
      </c>
    </row>
    <row r="37" spans="1:7" x14ac:dyDescent="0.2">
      <c r="A37" s="11" t="s">
        <v>138</v>
      </c>
      <c r="B37" s="17">
        <v>17653</v>
      </c>
      <c r="C37" s="17">
        <v>0</v>
      </c>
      <c r="D37" s="17">
        <v>17357</v>
      </c>
      <c r="E37" s="17">
        <v>17357</v>
      </c>
      <c r="F37" s="17">
        <v>0</v>
      </c>
      <c r="G37" s="18">
        <f>IF(AND(F66&lt;&gt;0,0&lt;&gt;0),IF(100*0/(F66-0)&lt;0.005,"*",100*0/(F66-0)),0)</f>
        <v>0</v>
      </c>
    </row>
    <row r="38" spans="1:7" x14ac:dyDescent="0.2">
      <c r="A38" s="11" t="s">
        <v>139</v>
      </c>
      <c r="B38" s="17">
        <v>366923</v>
      </c>
      <c r="C38" s="17">
        <v>0</v>
      </c>
      <c r="D38" s="17">
        <v>363598</v>
      </c>
      <c r="E38" s="17">
        <v>363598</v>
      </c>
      <c r="F38" s="17">
        <v>0</v>
      </c>
      <c r="G38" s="18">
        <f>IF(AND(F66&lt;&gt;0,0&lt;&gt;0),IF(100*0/(F66-0)&lt;0.005,"*",100*0/(F66-0)),0)</f>
        <v>0</v>
      </c>
    </row>
    <row r="39" spans="1:7" x14ac:dyDescent="0.2">
      <c r="A39" s="11" t="s">
        <v>140</v>
      </c>
      <c r="B39" s="17">
        <v>84289</v>
      </c>
      <c r="C39" s="17">
        <v>0</v>
      </c>
      <c r="D39" s="17">
        <v>88581</v>
      </c>
      <c r="E39" s="17">
        <v>88581</v>
      </c>
      <c r="F39" s="17">
        <v>0</v>
      </c>
      <c r="G39" s="18">
        <f>IF(AND(F66&lt;&gt;0,0&lt;&gt;0),IF(100*0/(F66-0)&lt;0.005,"*",100*0/(F66-0)),0)</f>
        <v>0</v>
      </c>
    </row>
    <row r="40" spans="1:7" x14ac:dyDescent="0.2">
      <c r="A40" s="11" t="s">
        <v>141</v>
      </c>
      <c r="B40" s="17">
        <v>19377</v>
      </c>
      <c r="C40" s="17">
        <v>0</v>
      </c>
      <c r="D40" s="17">
        <v>19217</v>
      </c>
      <c r="E40" s="17">
        <v>19217</v>
      </c>
      <c r="F40" s="17">
        <v>0</v>
      </c>
      <c r="G40" s="18">
        <f>IF(AND(F66&lt;&gt;0,0&lt;&gt;0),IF(100*0/(F66-0)&lt;0.005,"*",100*0/(F66-0)),0)</f>
        <v>0</v>
      </c>
    </row>
    <row r="41" spans="1:7" x14ac:dyDescent="0.2">
      <c r="A41" s="11" t="s">
        <v>142</v>
      </c>
      <c r="B41" s="17">
        <v>148254</v>
      </c>
      <c r="C41" s="17">
        <v>0</v>
      </c>
      <c r="D41" s="17">
        <v>146910</v>
      </c>
      <c r="E41" s="17">
        <v>146910</v>
      </c>
      <c r="F41" s="17">
        <v>0</v>
      </c>
      <c r="G41" s="18">
        <f>IF(AND(F66&lt;&gt;0,0&lt;&gt;0),IF(100*0/(F66-0)&lt;0.005,"*",100*0/(F66-0)),0)</f>
        <v>0</v>
      </c>
    </row>
    <row r="42" spans="1:7" x14ac:dyDescent="0.2">
      <c r="A42" s="11" t="s">
        <v>143</v>
      </c>
      <c r="B42" s="17">
        <v>32985</v>
      </c>
      <c r="C42" s="17">
        <v>0</v>
      </c>
      <c r="D42" s="17">
        <v>34124</v>
      </c>
      <c r="E42" s="17">
        <v>34124</v>
      </c>
      <c r="F42" s="17">
        <v>0</v>
      </c>
      <c r="G42" s="18">
        <f>IF(AND(F66&lt;&gt;0,0&lt;&gt;0),IF(100*0/(F66-0)&lt;0.005,"*",100*0/(F66-0)),0)</f>
        <v>0</v>
      </c>
    </row>
    <row r="43" spans="1:7" x14ac:dyDescent="0.2">
      <c r="A43" s="11" t="s">
        <v>144</v>
      </c>
      <c r="B43" s="17">
        <v>35323</v>
      </c>
      <c r="C43" s="17">
        <v>0</v>
      </c>
      <c r="D43" s="17">
        <v>34999</v>
      </c>
      <c r="E43" s="17">
        <v>34999</v>
      </c>
      <c r="F43" s="17">
        <v>0</v>
      </c>
      <c r="G43" s="18">
        <f>IF(AND(F66&lt;&gt;0,0&lt;&gt;0),IF(100*0/(F66-0)&lt;0.005,"*",100*0/(F66-0)),0)</f>
        <v>0</v>
      </c>
    </row>
    <row r="44" spans="1:7" x14ac:dyDescent="0.2">
      <c r="A44" s="11" t="s">
        <v>145</v>
      </c>
      <c r="B44" s="17">
        <v>209329</v>
      </c>
      <c r="C44" s="17">
        <v>0</v>
      </c>
      <c r="D44" s="17">
        <v>198483</v>
      </c>
      <c r="E44" s="17">
        <v>198483</v>
      </c>
      <c r="F44" s="17">
        <v>0</v>
      </c>
      <c r="G44" s="18">
        <f>IF(AND(F66&lt;&gt;0,0&lt;&gt;0),IF(100*0/(F66-0)&lt;0.005,"*",100*0/(F66-0)),0)</f>
        <v>0</v>
      </c>
    </row>
    <row r="45" spans="1:7" x14ac:dyDescent="0.2">
      <c r="A45" s="11" t="s">
        <v>146</v>
      </c>
      <c r="B45" s="17">
        <v>25313</v>
      </c>
      <c r="C45" s="17">
        <v>0</v>
      </c>
      <c r="D45" s="17">
        <v>24860</v>
      </c>
      <c r="E45" s="17">
        <v>24860</v>
      </c>
      <c r="F45" s="17">
        <v>0</v>
      </c>
      <c r="G45" s="18">
        <f>IF(AND(F66&lt;&gt;0,0&lt;&gt;0),IF(100*0/(F66-0)&lt;0.005,"*",100*0/(F66-0)),0)</f>
        <v>0</v>
      </c>
    </row>
    <row r="46" spans="1:7" x14ac:dyDescent="0.2">
      <c r="A46" s="11" t="s">
        <v>147</v>
      </c>
      <c r="B46" s="17">
        <v>35715</v>
      </c>
      <c r="C46" s="17">
        <v>0</v>
      </c>
      <c r="D46" s="17">
        <v>35654</v>
      </c>
      <c r="E46" s="17">
        <v>35654</v>
      </c>
      <c r="F46" s="17">
        <v>0</v>
      </c>
      <c r="G46" s="18">
        <f>IF(AND(F66&lt;&gt;0,0&lt;&gt;0),IF(100*0/(F66-0)&lt;0.005,"*",100*0/(F66-0)),0)</f>
        <v>0</v>
      </c>
    </row>
    <row r="47" spans="1:7" x14ac:dyDescent="0.2">
      <c r="A47" s="11" t="s">
        <v>148</v>
      </c>
      <c r="B47" s="17">
        <v>17396</v>
      </c>
      <c r="C47" s="17">
        <v>0</v>
      </c>
      <c r="D47" s="17">
        <v>17331</v>
      </c>
      <c r="E47" s="17">
        <v>17331</v>
      </c>
      <c r="F47" s="17">
        <v>0</v>
      </c>
      <c r="G47" s="18">
        <f>IF(AND(F66&lt;&gt;0,0&lt;&gt;0),IF(100*0/(F66-0)&lt;0.005,"*",100*0/(F66-0)),0)</f>
        <v>0</v>
      </c>
    </row>
    <row r="48" spans="1:7" x14ac:dyDescent="0.2">
      <c r="A48" s="11" t="s">
        <v>149</v>
      </c>
      <c r="B48" s="17">
        <v>58711</v>
      </c>
      <c r="C48" s="17">
        <v>0</v>
      </c>
      <c r="D48" s="17">
        <v>59250</v>
      </c>
      <c r="E48" s="17">
        <v>59250</v>
      </c>
      <c r="F48" s="17">
        <v>0</v>
      </c>
      <c r="G48" s="18">
        <f>IF(AND(F66&lt;&gt;0,0&lt;&gt;0),IF(100*0/(F66-0)&lt;0.005,"*",100*0/(F66-0)),0)</f>
        <v>0</v>
      </c>
    </row>
    <row r="49" spans="1:7" x14ac:dyDescent="0.2">
      <c r="A49" s="11" t="s">
        <v>150</v>
      </c>
      <c r="B49" s="17">
        <v>118378</v>
      </c>
      <c r="C49" s="17">
        <v>0</v>
      </c>
      <c r="D49" s="17">
        <v>118175</v>
      </c>
      <c r="E49" s="17">
        <v>118175</v>
      </c>
      <c r="F49" s="17">
        <v>0</v>
      </c>
      <c r="G49" s="18">
        <f>IF(AND(F66&lt;&gt;0,0&lt;&gt;0),IF(100*0/(F66-0)&lt;0.005,"*",100*0/(F66-0)),0)</f>
        <v>0</v>
      </c>
    </row>
    <row r="50" spans="1:7" x14ac:dyDescent="0.2">
      <c r="A50" s="11" t="s">
        <v>151</v>
      </c>
      <c r="B50" s="17">
        <v>23505</v>
      </c>
      <c r="C50" s="17">
        <v>0</v>
      </c>
      <c r="D50" s="17">
        <v>23312</v>
      </c>
      <c r="E50" s="17">
        <v>23312</v>
      </c>
      <c r="F50" s="17">
        <v>0</v>
      </c>
      <c r="G50" s="18">
        <f>IF(AND(F66&lt;&gt;0,0&lt;&gt;0),IF(100*0/(F66-0)&lt;0.005,"*",100*0/(F66-0)),0)</f>
        <v>0</v>
      </c>
    </row>
    <row r="51" spans="1:7" x14ac:dyDescent="0.2">
      <c r="A51" s="11" t="s">
        <v>152</v>
      </c>
      <c r="B51" s="17">
        <v>18991</v>
      </c>
      <c r="C51" s="17">
        <v>0</v>
      </c>
      <c r="D51" s="17">
        <v>18835</v>
      </c>
      <c r="E51" s="17">
        <v>18835</v>
      </c>
      <c r="F51" s="17">
        <v>0</v>
      </c>
      <c r="G51" s="18">
        <f>IF(AND(F66&lt;&gt;0,0&lt;&gt;0),IF(100*0/(F66-0)&lt;0.005,"*",100*0/(F66-0)),0)</f>
        <v>0</v>
      </c>
    </row>
    <row r="52" spans="1:7" x14ac:dyDescent="0.2">
      <c r="A52" s="11" t="s">
        <v>153</v>
      </c>
      <c r="B52" s="17">
        <v>83635</v>
      </c>
      <c r="C52" s="17">
        <v>0</v>
      </c>
      <c r="D52" s="17">
        <v>84986</v>
      </c>
      <c r="E52" s="17">
        <v>84986</v>
      </c>
      <c r="F52" s="17">
        <v>0</v>
      </c>
      <c r="G52" s="18">
        <f>IF(AND(F66&lt;&gt;0,0&lt;&gt;0),IF(100*0/(F66-0)&lt;0.005,"*",100*0/(F66-0)),0)</f>
        <v>0</v>
      </c>
    </row>
    <row r="53" spans="1:7" x14ac:dyDescent="0.2">
      <c r="A53" s="11" t="s">
        <v>154</v>
      </c>
      <c r="B53" s="17">
        <v>57036</v>
      </c>
      <c r="C53" s="17">
        <v>0</v>
      </c>
      <c r="D53" s="17">
        <v>56518</v>
      </c>
      <c r="E53" s="17">
        <v>56518</v>
      </c>
      <c r="F53" s="17">
        <v>0</v>
      </c>
      <c r="G53" s="18">
        <f>IF(AND(F66&lt;&gt;0,0&lt;&gt;0),IF(100*0/(F66-0)&lt;0.005,"*",100*0/(F66-0)),0)</f>
        <v>0</v>
      </c>
    </row>
    <row r="54" spans="1:7" x14ac:dyDescent="0.2">
      <c r="A54" s="11" t="s">
        <v>155</v>
      </c>
      <c r="B54" s="17">
        <v>28881</v>
      </c>
      <c r="C54" s="17">
        <v>0</v>
      </c>
      <c r="D54" s="17">
        <v>28644</v>
      </c>
      <c r="E54" s="17">
        <v>28644</v>
      </c>
      <c r="F54" s="17">
        <v>0</v>
      </c>
      <c r="G54" s="18">
        <f>IF(AND(F66&lt;&gt;0,0&lt;&gt;0),IF(100*0/(F66-0)&lt;0.005,"*",100*0/(F66-0)),0)</f>
        <v>0</v>
      </c>
    </row>
    <row r="55" spans="1:7" x14ac:dyDescent="0.2">
      <c r="A55" s="11" t="s">
        <v>156</v>
      </c>
      <c r="B55" s="17">
        <v>103182</v>
      </c>
      <c r="C55" s="17">
        <v>0</v>
      </c>
      <c r="D55" s="17">
        <v>102246</v>
      </c>
      <c r="E55" s="17">
        <v>102246</v>
      </c>
      <c r="F55" s="17">
        <v>0</v>
      </c>
      <c r="G55" s="18">
        <f>IF(AND(F66&lt;&gt;0,0&lt;&gt;0),IF(100*0/(F66-0)&lt;0.005,"*",100*0/(F66-0)),0)</f>
        <v>0</v>
      </c>
    </row>
    <row r="56" spans="1:7" x14ac:dyDescent="0.2">
      <c r="A56" s="11" t="s">
        <v>157</v>
      </c>
      <c r="B56" s="17">
        <v>9230</v>
      </c>
      <c r="C56" s="17">
        <v>0</v>
      </c>
      <c r="D56" s="17">
        <v>9155</v>
      </c>
      <c r="E56" s="17">
        <v>9155</v>
      </c>
      <c r="F56" s="17">
        <v>0</v>
      </c>
      <c r="G56" s="18">
        <f>IF(AND(F66&lt;&gt;0,0&lt;&gt;0),IF(100*0/(F66-0)&lt;0.005,"*",100*0/(F66-0)),0)</f>
        <v>0</v>
      </c>
    </row>
    <row r="57" spans="1:7" x14ac:dyDescent="0.2">
      <c r="A57" s="11" t="s">
        <v>158</v>
      </c>
      <c r="B57" s="17">
        <v>280</v>
      </c>
      <c r="C57" s="17">
        <v>0</v>
      </c>
      <c r="D57" s="17">
        <v>278</v>
      </c>
      <c r="E57" s="17">
        <v>278</v>
      </c>
      <c r="F57" s="17">
        <v>0</v>
      </c>
      <c r="G57" s="18">
        <f>IF(AND(F66&lt;&gt;0,0&lt;&gt;0),IF(100*0/(F66-0)&lt;0.005,"*",100*0/(F66-0)),0)</f>
        <v>0</v>
      </c>
    </row>
    <row r="58" spans="1:7" x14ac:dyDescent="0.2">
      <c r="A58" s="11" t="s">
        <v>159</v>
      </c>
      <c r="B58" s="17">
        <v>615</v>
      </c>
      <c r="C58" s="17">
        <v>0</v>
      </c>
      <c r="D58" s="17">
        <v>610</v>
      </c>
      <c r="E58" s="17">
        <v>610</v>
      </c>
      <c r="F58" s="17">
        <v>0</v>
      </c>
      <c r="G58" s="18">
        <f>IF(AND(F66&lt;&gt;0,0&lt;&gt;0),IF(100*0/(F66-0)&lt;0.005,"*",100*0/(F66-0)),0)</f>
        <v>0</v>
      </c>
    </row>
    <row r="59" spans="1:7" x14ac:dyDescent="0.2">
      <c r="A59" s="11" t="s">
        <v>160</v>
      </c>
      <c r="B59" s="17">
        <v>214</v>
      </c>
      <c r="C59" s="17">
        <v>0</v>
      </c>
      <c r="D59" s="17">
        <v>212</v>
      </c>
      <c r="E59" s="17">
        <v>212</v>
      </c>
      <c r="F59" s="17">
        <v>0</v>
      </c>
      <c r="G59" s="18">
        <f>IF(AND(F66&lt;&gt;0,0&lt;&gt;0),IF(100*0/(F66-0)&lt;0.005,"*",100*0/(F66-0)),0)</f>
        <v>0</v>
      </c>
    </row>
    <row r="60" spans="1:7" x14ac:dyDescent="0.2">
      <c r="A60" s="11" t="s">
        <v>161</v>
      </c>
      <c r="B60" s="17">
        <v>15263</v>
      </c>
      <c r="C60" s="17">
        <v>0</v>
      </c>
      <c r="D60" s="17">
        <v>15144</v>
      </c>
      <c r="E60" s="17">
        <v>15144</v>
      </c>
      <c r="F60" s="17">
        <v>0</v>
      </c>
      <c r="G60" s="18">
        <f>IF(AND(F66&lt;&gt;0,0&lt;&gt;0),IF(100*0/(F66-0)&lt;0.005,"*",100*0/(F66-0)),0)</f>
        <v>0</v>
      </c>
    </row>
    <row r="61" spans="1:7" x14ac:dyDescent="0.2">
      <c r="A61" s="11" t="s">
        <v>162</v>
      </c>
      <c r="B61" s="17">
        <v>0</v>
      </c>
      <c r="C61" s="17">
        <v>0</v>
      </c>
      <c r="D61" s="17">
        <v>0</v>
      </c>
      <c r="E61" s="17">
        <v>0</v>
      </c>
      <c r="F61" s="17">
        <v>0</v>
      </c>
      <c r="G61" s="18">
        <f>IF(AND(F66&lt;&gt;0,0&lt;&gt;0),IF(100*0/(F66-0)&lt;0.005,"*",100*0/(F66-0)),0)</f>
        <v>0</v>
      </c>
    </row>
    <row r="62" spans="1:7" x14ac:dyDescent="0.2">
      <c r="A62" s="11" t="s">
        <v>163</v>
      </c>
      <c r="B62" s="17">
        <v>581</v>
      </c>
      <c r="C62" s="17">
        <v>0</v>
      </c>
      <c r="D62" s="17">
        <v>577</v>
      </c>
      <c r="E62" s="17">
        <v>577</v>
      </c>
      <c r="F62" s="17">
        <v>0</v>
      </c>
      <c r="G62" s="18">
        <f>IF(AND(F66&lt;&gt;0,0&lt;&gt;0),IF(100*0/(F66-0)&lt;0.005,"*",100*0/(F66-0)),0)</f>
        <v>0</v>
      </c>
    </row>
    <row r="63" spans="1:7" x14ac:dyDescent="0.2">
      <c r="A63" s="11" t="s">
        <v>164</v>
      </c>
      <c r="B63" s="17">
        <v>37230</v>
      </c>
      <c r="C63" s="17">
        <v>0</v>
      </c>
      <c r="D63" s="17">
        <v>37228</v>
      </c>
      <c r="E63" s="17">
        <v>37228</v>
      </c>
      <c r="F63" s="17">
        <v>0</v>
      </c>
      <c r="G63" s="18">
        <f>IF(AND(F66&lt;&gt;0,0&lt;&gt;0),IF(100*0/(F66-0)&lt;0.005,"*",100*0/(F66-0)),0)</f>
        <v>0</v>
      </c>
    </row>
    <row r="64" spans="1:7" x14ac:dyDescent="0.2">
      <c r="A64" s="11" t="s">
        <v>165</v>
      </c>
      <c r="B64" s="17">
        <v>0</v>
      </c>
      <c r="C64" s="17">
        <v>0</v>
      </c>
      <c r="D64" s="17">
        <v>0</v>
      </c>
      <c r="E64" s="17">
        <v>0</v>
      </c>
      <c r="F64" s="17">
        <v>0</v>
      </c>
      <c r="G64" s="18">
        <v>0</v>
      </c>
    </row>
    <row r="65" spans="1:7" x14ac:dyDescent="0.2">
      <c r="A65" s="11" t="s">
        <v>206</v>
      </c>
      <c r="B65" s="17">
        <v>2987</v>
      </c>
      <c r="C65" s="17">
        <v>0</v>
      </c>
      <c r="D65" s="17">
        <v>2968</v>
      </c>
      <c r="E65" s="17">
        <v>2968</v>
      </c>
      <c r="F65" s="17">
        <v>0</v>
      </c>
      <c r="G65" s="18">
        <f>IF(AND(F66&lt;&gt;0,0&lt;&gt;0),IF(100*0/(F66-0)&lt;0.005,"*",100*0/(F66-0)),0)</f>
        <v>0</v>
      </c>
    </row>
    <row r="66" spans="1:7" ht="15" customHeight="1" x14ac:dyDescent="0.2">
      <c r="A66" s="19" t="s">
        <v>106</v>
      </c>
      <c r="B66" s="20" t="s">
        <v>426</v>
      </c>
      <c r="C66" s="20">
        <f>0+0+0+0+0+0+0+0+0+0+0+0+0+0+0+0+0+0+0+0+0+0+0+0+0+0+0+0+0+0+0+0+0+0+0+0+0+0+0+0+0+0+0+0+0+0+0+0+0+0+0+0+0+0+0+0+0+0+0+0+0</f>
        <v>0</v>
      </c>
      <c r="D66" s="20" t="s">
        <v>427</v>
      </c>
      <c r="E66" s="20" t="s">
        <v>427</v>
      </c>
      <c r="F66" s="20">
        <f>0+0+0+0+0+0+0+0+0+0+0+0+0+0+0+0+0+0+0+0+0+0+0+0+0+0+0+0+0+0+0+0+0+0+0+0+0+0+0+0+0+0+0+0+0+0+0+0+0+0+0+0+0+0+0+0+0+0+0+0+0</f>
        <v>0</v>
      </c>
      <c r="G66" s="22" t="s">
        <v>180</v>
      </c>
    </row>
    <row r="67" spans="1:7" ht="15" customHeight="1" x14ac:dyDescent="0.2">
      <c r="A67" s="72" t="s">
        <v>167</v>
      </c>
      <c r="B67" s="72"/>
      <c r="C67" s="72"/>
      <c r="D67" s="72"/>
      <c r="E67" s="72"/>
      <c r="F67" s="72"/>
      <c r="G67" s="72"/>
    </row>
    <row r="68" spans="1:7" ht="15" customHeight="1" x14ac:dyDescent="0.2">
      <c r="A68" s="73" t="s">
        <v>424</v>
      </c>
      <c r="B68" s="73"/>
      <c r="C68" s="73"/>
      <c r="D68" s="73"/>
      <c r="E68" s="73"/>
      <c r="F68" s="73"/>
      <c r="G68" s="73"/>
    </row>
    <row r="69" spans="1:7" ht="27.95" customHeight="1" x14ac:dyDescent="0.2">
      <c r="A69" s="73" t="s">
        <v>425</v>
      </c>
      <c r="B69" s="73"/>
      <c r="C69" s="73"/>
      <c r="D69" s="73"/>
      <c r="E69" s="73"/>
      <c r="F69" s="73"/>
      <c r="G69" s="73"/>
    </row>
    <row r="70" spans="1:7" ht="18.95" customHeight="1" x14ac:dyDescent="0.2"/>
  </sheetData>
  <mergeCells count="7">
    <mergeCell ref="A69:G69"/>
    <mergeCell ref="A68:G68"/>
    <mergeCell ref="A4:A5"/>
    <mergeCell ref="B4:B5"/>
    <mergeCell ref="F4:F5"/>
    <mergeCell ref="G4:G5"/>
    <mergeCell ref="A67:G67"/>
  </mergeCells>
  <pageMargins left="0.7" right="0.7" top="0.75" bottom="0.75" header="0.3" footer="0.3"/>
  <pageSetup scale="7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207</v>
      </c>
    </row>
    <row r="2" spans="1:7" x14ac:dyDescent="0.2">
      <c r="A2" s="13" t="s">
        <v>208</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53212</v>
      </c>
      <c r="C6" s="17">
        <v>0</v>
      </c>
      <c r="D6" s="17">
        <v>52849</v>
      </c>
      <c r="E6" s="17">
        <v>52849</v>
      </c>
      <c r="F6" s="17">
        <v>47619</v>
      </c>
      <c r="G6" s="18">
        <f>IF(AND(F68&lt;&gt;0,47619&lt;&gt;0),IF(100*47619/(F68-0)&lt;0.005,"*",100*47619/(F68-0)),0)</f>
        <v>1.8601171875</v>
      </c>
    </row>
    <row r="7" spans="1:7" x14ac:dyDescent="0.2">
      <c r="A7" s="11" t="s">
        <v>108</v>
      </c>
      <c r="B7" s="17">
        <v>5331</v>
      </c>
      <c r="C7" s="17">
        <v>0</v>
      </c>
      <c r="D7" s="17">
        <v>5294</v>
      </c>
      <c r="E7" s="17">
        <v>5294</v>
      </c>
      <c r="F7" s="17">
        <v>4771</v>
      </c>
      <c r="G7" s="18">
        <f>IF(AND(F68&lt;&gt;0,4771&lt;&gt;0),IF(100*4771/(F68-0)&lt;0.005,"*",100*4771/(F68-0)),0)</f>
        <v>0.1863671875</v>
      </c>
    </row>
    <row r="8" spans="1:7" x14ac:dyDescent="0.2">
      <c r="A8" s="11" t="s">
        <v>109</v>
      </c>
      <c r="B8" s="17">
        <v>71548</v>
      </c>
      <c r="C8" s="17">
        <v>0</v>
      </c>
      <c r="D8" s="17">
        <v>71060</v>
      </c>
      <c r="E8" s="17">
        <v>71060</v>
      </c>
      <c r="F8" s="17">
        <v>64029</v>
      </c>
      <c r="G8" s="18">
        <f>IF(AND(F68&lt;&gt;0,64029&lt;&gt;0),IF(100*64029/(F68-0)&lt;0.005,"*",100*64029/(F68-0)),0)</f>
        <v>2.5011328124999999</v>
      </c>
    </row>
    <row r="9" spans="1:7" x14ac:dyDescent="0.2">
      <c r="A9" s="11" t="s">
        <v>110</v>
      </c>
      <c r="B9" s="17">
        <v>33627</v>
      </c>
      <c r="C9" s="17">
        <v>0</v>
      </c>
      <c r="D9" s="17">
        <v>33398</v>
      </c>
      <c r="E9" s="17">
        <v>33398</v>
      </c>
      <c r="F9" s="17">
        <v>30093</v>
      </c>
      <c r="G9" s="18">
        <f>IF(AND(F68&lt;&gt;0,30093&lt;&gt;0),IF(100*30093/(F68-0)&lt;0.005,"*",100*30093/(F68-0)),0)</f>
        <v>1.1755078125</v>
      </c>
    </row>
    <row r="10" spans="1:7" x14ac:dyDescent="0.2">
      <c r="A10" s="11" t="s">
        <v>111</v>
      </c>
      <c r="B10" s="17">
        <v>305024</v>
      </c>
      <c r="C10" s="17">
        <v>0</v>
      </c>
      <c r="D10" s="17">
        <v>302946</v>
      </c>
      <c r="E10" s="17">
        <v>302946</v>
      </c>
      <c r="F10" s="17">
        <v>272967</v>
      </c>
      <c r="G10" s="18">
        <f>IF(AND(F68&lt;&gt;0,272967&lt;&gt;0),IF(100*272967/(F68-0)&lt;0.005,"*",100*272967/(F68-0)),0)</f>
        <v>10.6627734375</v>
      </c>
    </row>
    <row r="11" spans="1:7" x14ac:dyDescent="0.2">
      <c r="A11" s="11" t="s">
        <v>112</v>
      </c>
      <c r="B11" s="17">
        <v>35389</v>
      </c>
      <c r="C11" s="17">
        <v>0</v>
      </c>
      <c r="D11" s="17">
        <v>35147</v>
      </c>
      <c r="E11" s="17">
        <v>35147</v>
      </c>
      <c r="F11" s="17">
        <v>31669</v>
      </c>
      <c r="G11" s="18">
        <f>IF(AND(F68&lt;&gt;0,31669&lt;&gt;0),IF(100*31669/(F68-0)&lt;0.005,"*",100*31669/(F68-0)),0)</f>
        <v>1.2370703125</v>
      </c>
    </row>
    <row r="12" spans="1:7" x14ac:dyDescent="0.2">
      <c r="A12" s="11" t="s">
        <v>113</v>
      </c>
      <c r="B12" s="17">
        <v>18404</v>
      </c>
      <c r="C12" s="17">
        <v>0</v>
      </c>
      <c r="D12" s="17">
        <v>18278</v>
      </c>
      <c r="E12" s="17">
        <v>18278</v>
      </c>
      <c r="F12" s="17">
        <v>16469</v>
      </c>
      <c r="G12" s="18">
        <f>IF(AND(F68&lt;&gt;0,16469&lt;&gt;0),IF(100*16469/(F68-0)&lt;0.005,"*",100*16469/(F68-0)),0)</f>
        <v>0.64332031249999999</v>
      </c>
    </row>
    <row r="13" spans="1:7" x14ac:dyDescent="0.2">
      <c r="A13" s="11" t="s">
        <v>114</v>
      </c>
      <c r="B13" s="17">
        <v>7674</v>
      </c>
      <c r="C13" s="17">
        <v>0</v>
      </c>
      <c r="D13" s="17">
        <v>7621</v>
      </c>
      <c r="E13" s="17">
        <v>7621</v>
      </c>
      <c r="F13" s="17">
        <v>6867</v>
      </c>
      <c r="G13" s="18">
        <f>IF(AND(F68&lt;&gt;0,6867&lt;&gt;0),IF(100*6867/(F68-0)&lt;0.005,"*",100*6867/(F68-0)),0)</f>
        <v>0.26824218750000001</v>
      </c>
    </row>
    <row r="14" spans="1:7" x14ac:dyDescent="0.2">
      <c r="A14" s="11" t="s">
        <v>115</v>
      </c>
      <c r="B14" s="17">
        <v>4614</v>
      </c>
      <c r="C14" s="17">
        <v>0</v>
      </c>
      <c r="D14" s="17">
        <v>4582</v>
      </c>
      <c r="E14" s="17">
        <v>4582</v>
      </c>
      <c r="F14" s="17">
        <v>4129</v>
      </c>
      <c r="G14" s="18">
        <f>IF(AND(F68&lt;&gt;0,4129&lt;&gt;0),IF(100*4129/(F68-0)&lt;0.005,"*",100*4129/(F68-0)),0)</f>
        <v>0.1612890625</v>
      </c>
    </row>
    <row r="15" spans="1:7" x14ac:dyDescent="0.2">
      <c r="A15" s="11" t="s">
        <v>116</v>
      </c>
      <c r="B15" s="17">
        <v>168392</v>
      </c>
      <c r="C15" s="17">
        <v>0</v>
      </c>
      <c r="D15" s="17">
        <v>167245</v>
      </c>
      <c r="E15" s="17">
        <v>167245</v>
      </c>
      <c r="F15" s="17">
        <v>150695</v>
      </c>
      <c r="G15" s="18">
        <f>IF(AND(F68&lt;&gt;0,150695&lt;&gt;0),IF(100*150695/(F68-0)&lt;0.005,"*",100*150695/(F68-0)),0)</f>
        <v>5.8865234375000002</v>
      </c>
    </row>
    <row r="16" spans="1:7" x14ac:dyDescent="0.2">
      <c r="A16" s="11" t="s">
        <v>117</v>
      </c>
      <c r="B16" s="17">
        <v>119099</v>
      </c>
      <c r="C16" s="17">
        <v>0</v>
      </c>
      <c r="D16" s="17">
        <v>118286</v>
      </c>
      <c r="E16" s="17">
        <v>118286</v>
      </c>
      <c r="F16" s="17">
        <v>106581</v>
      </c>
      <c r="G16" s="18">
        <f>IF(AND(F68&lt;&gt;0,106581&lt;&gt;0),IF(100*106581/(F68-0)&lt;0.005,"*",100*106581/(F68-0)),0)</f>
        <v>4.1633203124999998</v>
      </c>
    </row>
    <row r="17" spans="1:7" x14ac:dyDescent="0.2">
      <c r="A17" s="11" t="s">
        <v>118</v>
      </c>
      <c r="B17" s="17">
        <v>10254</v>
      </c>
      <c r="C17" s="17">
        <v>0</v>
      </c>
      <c r="D17" s="17">
        <v>10184</v>
      </c>
      <c r="E17" s="17">
        <v>10184</v>
      </c>
      <c r="F17" s="17">
        <v>9176</v>
      </c>
      <c r="G17" s="18">
        <f>IF(AND(F68&lt;&gt;0,9176&lt;&gt;0),IF(100*9176/(F68-0)&lt;0.005,"*",100*9176/(F68-0)),0)</f>
        <v>0.35843750000000002</v>
      </c>
    </row>
    <row r="18" spans="1:7" x14ac:dyDescent="0.2">
      <c r="A18" s="11" t="s">
        <v>119</v>
      </c>
      <c r="B18" s="17">
        <v>16762</v>
      </c>
      <c r="C18" s="17">
        <v>0</v>
      </c>
      <c r="D18" s="17">
        <v>16647</v>
      </c>
      <c r="E18" s="17">
        <v>16647</v>
      </c>
      <c r="F18" s="17">
        <v>15000</v>
      </c>
      <c r="G18" s="18">
        <f>IF(AND(F68&lt;&gt;0,15000&lt;&gt;0),IF(100*15000/(F68-0)&lt;0.005,"*",100*15000/(F68-0)),0)</f>
        <v>0.5859375</v>
      </c>
    </row>
    <row r="19" spans="1:7" x14ac:dyDescent="0.2">
      <c r="A19" s="11" t="s">
        <v>120</v>
      </c>
      <c r="B19" s="17">
        <v>99949</v>
      </c>
      <c r="C19" s="17">
        <v>0</v>
      </c>
      <c r="D19" s="17">
        <v>99268</v>
      </c>
      <c r="E19" s="17">
        <v>99268</v>
      </c>
      <c r="F19" s="17">
        <v>89445</v>
      </c>
      <c r="G19" s="18">
        <f>IF(AND(F68&lt;&gt;0,89445&lt;&gt;0),IF(100*89445/(F68-0)&lt;0.005,"*",100*89445/(F68-0)),0)</f>
        <v>3.4939453125000002</v>
      </c>
    </row>
    <row r="20" spans="1:7" x14ac:dyDescent="0.2">
      <c r="A20" s="11" t="s">
        <v>121</v>
      </c>
      <c r="B20" s="17">
        <v>64662</v>
      </c>
      <c r="C20" s="17">
        <v>0</v>
      </c>
      <c r="D20" s="17">
        <v>64221</v>
      </c>
      <c r="E20" s="17">
        <v>64221</v>
      </c>
      <c r="F20" s="17">
        <v>57866</v>
      </c>
      <c r="G20" s="18">
        <f>IF(AND(F68&lt;&gt;0,57866&lt;&gt;0),IF(100*57866/(F68-0)&lt;0.005,"*",100*57866/(F68-0)),0)</f>
        <v>2.2603906249999999</v>
      </c>
    </row>
    <row r="21" spans="1:7" x14ac:dyDescent="0.2">
      <c r="A21" s="11" t="s">
        <v>122</v>
      </c>
      <c r="B21" s="17">
        <v>24584</v>
      </c>
      <c r="C21" s="17">
        <v>0</v>
      </c>
      <c r="D21" s="17">
        <v>24416</v>
      </c>
      <c r="E21" s="17">
        <v>24416</v>
      </c>
      <c r="F21" s="17">
        <v>22000</v>
      </c>
      <c r="G21" s="18">
        <f>IF(AND(F68&lt;&gt;0,22000&lt;&gt;0),IF(100*22000/(F68-0)&lt;0.005,"*",100*22000/(F68-0)),0)</f>
        <v>0.859375</v>
      </c>
    </row>
    <row r="22" spans="1:7" x14ac:dyDescent="0.2">
      <c r="A22" s="11" t="s">
        <v>123</v>
      </c>
      <c r="B22" s="17">
        <v>25907</v>
      </c>
      <c r="C22" s="17">
        <v>0</v>
      </c>
      <c r="D22" s="17">
        <v>25730</v>
      </c>
      <c r="E22" s="17">
        <v>25730</v>
      </c>
      <c r="F22" s="17">
        <v>23184</v>
      </c>
      <c r="G22" s="18">
        <f>IF(AND(F68&lt;&gt;0,23184&lt;&gt;0),IF(100*23184/(F68-0)&lt;0.005,"*",100*23184/(F68-0)),0)</f>
        <v>0.90562500000000001</v>
      </c>
    </row>
    <row r="23" spans="1:7" x14ac:dyDescent="0.2">
      <c r="A23" s="11" t="s">
        <v>124</v>
      </c>
      <c r="B23" s="17">
        <v>51660</v>
      </c>
      <c r="C23" s="17">
        <v>0</v>
      </c>
      <c r="D23" s="17">
        <v>51307</v>
      </c>
      <c r="E23" s="17">
        <v>51307</v>
      </c>
      <c r="F23" s="17">
        <v>46230</v>
      </c>
      <c r="G23" s="18">
        <f>IF(AND(F68&lt;&gt;0,46230&lt;&gt;0),IF(100*46230/(F68-0)&lt;0.005,"*",100*46230/(F68-0)),0)</f>
        <v>1.805859375</v>
      </c>
    </row>
    <row r="24" spans="1:7" x14ac:dyDescent="0.2">
      <c r="A24" s="11" t="s">
        <v>125</v>
      </c>
      <c r="B24" s="17">
        <v>50191</v>
      </c>
      <c r="C24" s="17">
        <v>0</v>
      </c>
      <c r="D24" s="17">
        <v>49849</v>
      </c>
      <c r="E24" s="17">
        <v>49849</v>
      </c>
      <c r="F24" s="17">
        <v>44916</v>
      </c>
      <c r="G24" s="18">
        <f>IF(AND(F68&lt;&gt;0,44916&lt;&gt;0),IF(100*44916/(F68-0)&lt;0.005,"*",100*44916/(F68-0)),0)</f>
        <v>1.7545312500000001</v>
      </c>
    </row>
    <row r="25" spans="1:7" x14ac:dyDescent="0.2">
      <c r="A25" s="11" t="s">
        <v>126</v>
      </c>
      <c r="B25" s="17">
        <v>9058</v>
      </c>
      <c r="C25" s="17">
        <v>0</v>
      </c>
      <c r="D25" s="17">
        <v>8996</v>
      </c>
      <c r="E25" s="17">
        <v>8996</v>
      </c>
      <c r="F25" s="17">
        <v>8106</v>
      </c>
      <c r="G25" s="18">
        <f>IF(AND(F68&lt;&gt;0,8106&lt;&gt;0),IF(100*8106/(F68-0)&lt;0.005,"*",100*8106/(F68-0)),0)</f>
        <v>0.31664062500000001</v>
      </c>
    </row>
    <row r="26" spans="1:7" x14ac:dyDescent="0.2">
      <c r="A26" s="11" t="s">
        <v>127</v>
      </c>
      <c r="B26" s="17">
        <v>36159</v>
      </c>
      <c r="C26" s="17">
        <v>0</v>
      </c>
      <c r="D26" s="17">
        <v>35913</v>
      </c>
      <c r="E26" s="17">
        <v>35913</v>
      </c>
      <c r="F26" s="17">
        <v>32359</v>
      </c>
      <c r="G26" s="18">
        <f>IF(AND(F68&lt;&gt;0,32359&lt;&gt;0),IF(100*32359/(F68-0)&lt;0.005,"*",100*32359/(F68-0)),0)</f>
        <v>1.2640234374999999</v>
      </c>
    </row>
    <row r="27" spans="1:7" x14ac:dyDescent="0.2">
      <c r="A27" s="11" t="s">
        <v>128</v>
      </c>
      <c r="B27" s="17">
        <v>35601</v>
      </c>
      <c r="C27" s="17">
        <v>0</v>
      </c>
      <c r="D27" s="17">
        <v>35358</v>
      </c>
      <c r="E27" s="17">
        <v>35358</v>
      </c>
      <c r="F27" s="17">
        <v>31859</v>
      </c>
      <c r="G27" s="18">
        <f>IF(AND(F68&lt;&gt;0,31859&lt;&gt;0),IF(100*31859/(F68-0)&lt;0.005,"*",100*31859/(F68-0)),0)</f>
        <v>1.2444921874999999</v>
      </c>
    </row>
    <row r="28" spans="1:7" x14ac:dyDescent="0.2">
      <c r="A28" s="11" t="s">
        <v>129</v>
      </c>
      <c r="B28" s="17">
        <v>84094</v>
      </c>
      <c r="C28" s="17">
        <v>0</v>
      </c>
      <c r="D28" s="17">
        <v>83520</v>
      </c>
      <c r="E28" s="17">
        <v>83520</v>
      </c>
      <c r="F28" s="17">
        <v>75256</v>
      </c>
      <c r="G28" s="18">
        <f>IF(AND(F68&lt;&gt;0,75256&lt;&gt;0),IF(100*75256/(F68-0)&lt;0.005,"*",100*75256/(F68-0)),0)</f>
        <v>2.9396874999999998</v>
      </c>
    </row>
    <row r="29" spans="1:7" x14ac:dyDescent="0.2">
      <c r="A29" s="11" t="s">
        <v>130</v>
      </c>
      <c r="B29" s="17">
        <v>38301</v>
      </c>
      <c r="C29" s="17">
        <v>0</v>
      </c>
      <c r="D29" s="17">
        <v>38040</v>
      </c>
      <c r="E29" s="17">
        <v>38040</v>
      </c>
      <c r="F29" s="17">
        <v>34276</v>
      </c>
      <c r="G29" s="18">
        <f>IF(AND(F68&lt;&gt;0,34276&lt;&gt;0),IF(100*34276/(F68-0)&lt;0.005,"*",100*34276/(F68-0)),0)</f>
        <v>1.33890625</v>
      </c>
    </row>
    <row r="30" spans="1:7" x14ac:dyDescent="0.2">
      <c r="A30" s="11" t="s">
        <v>131</v>
      </c>
      <c r="B30" s="17">
        <v>39442</v>
      </c>
      <c r="C30" s="17">
        <v>0</v>
      </c>
      <c r="D30" s="17">
        <v>39173</v>
      </c>
      <c r="E30" s="17">
        <v>39173</v>
      </c>
      <c r="F30" s="17">
        <v>35296</v>
      </c>
      <c r="G30" s="18">
        <f>IF(AND(F68&lt;&gt;0,35296&lt;&gt;0),IF(100*35296/(F68-0)&lt;0.005,"*",100*35296/(F68-0)),0)</f>
        <v>1.3787499999999999</v>
      </c>
    </row>
    <row r="31" spans="1:7" x14ac:dyDescent="0.2">
      <c r="A31" s="11" t="s">
        <v>132</v>
      </c>
      <c r="B31" s="17">
        <v>53776</v>
      </c>
      <c r="C31" s="17">
        <v>0</v>
      </c>
      <c r="D31" s="17">
        <v>53410</v>
      </c>
      <c r="E31" s="17">
        <v>53410</v>
      </c>
      <c r="F31" s="17">
        <v>48124</v>
      </c>
      <c r="G31" s="18">
        <f>IF(AND(F68&lt;&gt;0,48124&lt;&gt;0),IF(100*48124/(F68-0)&lt;0.005,"*",100*48124/(F68-0)),0)</f>
        <v>1.87984375</v>
      </c>
    </row>
    <row r="32" spans="1:7" x14ac:dyDescent="0.2">
      <c r="A32" s="11" t="s">
        <v>133</v>
      </c>
      <c r="B32" s="17">
        <v>8062</v>
      </c>
      <c r="C32" s="17">
        <v>0</v>
      </c>
      <c r="D32" s="17">
        <v>8007</v>
      </c>
      <c r="E32" s="17">
        <v>8007</v>
      </c>
      <c r="F32" s="17">
        <v>7215</v>
      </c>
      <c r="G32" s="18">
        <f>IF(AND(F68&lt;&gt;0,7215&lt;&gt;0),IF(100*7215/(F68-0)&lt;0.005,"*",100*7215/(F68-0)),0)</f>
        <v>0.28183593750000002</v>
      </c>
    </row>
    <row r="33" spans="1:7" x14ac:dyDescent="0.2">
      <c r="A33" s="11" t="s">
        <v>134</v>
      </c>
      <c r="B33" s="17">
        <v>15608</v>
      </c>
      <c r="C33" s="17">
        <v>0</v>
      </c>
      <c r="D33" s="17">
        <v>15502</v>
      </c>
      <c r="E33" s="17">
        <v>15502</v>
      </c>
      <c r="F33" s="17">
        <v>13968</v>
      </c>
      <c r="G33" s="18">
        <f>IF(AND(F68&lt;&gt;0,13968&lt;&gt;0),IF(100*13968/(F68-0)&lt;0.005,"*",100*13968/(F68-0)),0)</f>
        <v>0.54562500000000003</v>
      </c>
    </row>
    <row r="34" spans="1:7" x14ac:dyDescent="0.2">
      <c r="A34" s="11" t="s">
        <v>135</v>
      </c>
      <c r="B34" s="17">
        <v>25644</v>
      </c>
      <c r="C34" s="17">
        <v>0</v>
      </c>
      <c r="D34" s="17">
        <v>25469</v>
      </c>
      <c r="E34" s="17">
        <v>25469</v>
      </c>
      <c r="F34" s="17">
        <v>22949</v>
      </c>
      <c r="G34" s="18">
        <f>IF(AND(F68&lt;&gt;0,22949&lt;&gt;0),IF(100*22949/(F68-0)&lt;0.005,"*",100*22949/(F68-0)),0)</f>
        <v>0.89644531250000004</v>
      </c>
    </row>
    <row r="35" spans="1:7" x14ac:dyDescent="0.2">
      <c r="A35" s="11" t="s">
        <v>136</v>
      </c>
      <c r="B35" s="17">
        <v>5950</v>
      </c>
      <c r="C35" s="17">
        <v>0</v>
      </c>
      <c r="D35" s="17">
        <v>5909</v>
      </c>
      <c r="E35" s="17">
        <v>5909</v>
      </c>
      <c r="F35" s="17">
        <v>5325</v>
      </c>
      <c r="G35" s="18">
        <f>IF(AND(F68&lt;&gt;0,5325&lt;&gt;0),IF(100*5325/(F68-0)&lt;0.005,"*",100*5325/(F68-0)),0)</f>
        <v>0.2080078125</v>
      </c>
    </row>
    <row r="36" spans="1:7" x14ac:dyDescent="0.2">
      <c r="A36" s="11" t="s">
        <v>137</v>
      </c>
      <c r="B36" s="17">
        <v>51269</v>
      </c>
      <c r="C36" s="17">
        <v>0</v>
      </c>
      <c r="D36" s="17">
        <v>50919</v>
      </c>
      <c r="E36" s="17">
        <v>50919</v>
      </c>
      <c r="F36" s="17">
        <v>45880</v>
      </c>
      <c r="G36" s="18">
        <f>IF(AND(F68&lt;&gt;0,45880&lt;&gt;0),IF(100*45880/(F68-0)&lt;0.005,"*",100*45880/(F68-0)),0)</f>
        <v>1.7921875</v>
      </c>
    </row>
    <row r="37" spans="1:7" x14ac:dyDescent="0.2">
      <c r="A37" s="11" t="s">
        <v>138</v>
      </c>
      <c r="B37" s="17">
        <v>24267</v>
      </c>
      <c r="C37" s="17">
        <v>0</v>
      </c>
      <c r="D37" s="17">
        <v>24101</v>
      </c>
      <c r="E37" s="17">
        <v>24101</v>
      </c>
      <c r="F37" s="17">
        <v>21716</v>
      </c>
      <c r="G37" s="18">
        <f>IF(AND(F68&lt;&gt;0,21716&lt;&gt;0),IF(100*21716/(F68-0)&lt;0.005,"*",100*21716/(F68-0)),0)</f>
        <v>0.84828124999999999</v>
      </c>
    </row>
    <row r="38" spans="1:7" x14ac:dyDescent="0.2">
      <c r="A38" s="11" t="s">
        <v>139</v>
      </c>
      <c r="B38" s="17">
        <v>128772</v>
      </c>
      <c r="C38" s="17">
        <v>0</v>
      </c>
      <c r="D38" s="17">
        <v>127895</v>
      </c>
      <c r="E38" s="17">
        <v>127895</v>
      </c>
      <c r="F38" s="17">
        <v>115239</v>
      </c>
      <c r="G38" s="18">
        <f>IF(AND(F68&lt;&gt;0,115239&lt;&gt;0),IF(100*115239/(F68-0)&lt;0.005,"*",100*115239/(F68-0)),0)</f>
        <v>4.5015234375000004</v>
      </c>
    </row>
    <row r="39" spans="1:7" x14ac:dyDescent="0.2">
      <c r="A39" s="11" t="s">
        <v>140</v>
      </c>
      <c r="B39" s="17">
        <v>96486</v>
      </c>
      <c r="C39" s="17">
        <v>0</v>
      </c>
      <c r="D39" s="17">
        <v>95828</v>
      </c>
      <c r="E39" s="17">
        <v>95828</v>
      </c>
      <c r="F39" s="17">
        <v>86345</v>
      </c>
      <c r="G39" s="18">
        <f>IF(AND(F68&lt;&gt;0,86345&lt;&gt;0),IF(100*86345/(F68-0)&lt;0.005,"*",100*86345/(F68-0)),0)</f>
        <v>3.3728515625000002</v>
      </c>
    </row>
    <row r="40" spans="1:7" x14ac:dyDescent="0.2">
      <c r="A40" s="11" t="s">
        <v>141</v>
      </c>
      <c r="B40" s="17">
        <v>4453</v>
      </c>
      <c r="C40" s="17">
        <v>0</v>
      </c>
      <c r="D40" s="17">
        <v>4423</v>
      </c>
      <c r="E40" s="17">
        <v>4423</v>
      </c>
      <c r="F40" s="17">
        <v>3985</v>
      </c>
      <c r="G40" s="18">
        <f>IF(AND(F68&lt;&gt;0,3985&lt;&gt;0),IF(100*3985/(F68-0)&lt;0.005,"*",100*3985/(F68-0)),0)</f>
        <v>0.15566406250000001</v>
      </c>
    </row>
    <row r="41" spans="1:7" x14ac:dyDescent="0.2">
      <c r="A41" s="11" t="s">
        <v>142</v>
      </c>
      <c r="B41" s="17">
        <v>96109</v>
      </c>
      <c r="C41" s="17">
        <v>0</v>
      </c>
      <c r="D41" s="17">
        <v>95454</v>
      </c>
      <c r="E41" s="17">
        <v>95454</v>
      </c>
      <c r="F41" s="17">
        <v>86008</v>
      </c>
      <c r="G41" s="18">
        <f>IF(AND(F68&lt;&gt;0,86008&lt;&gt;0),IF(100*86008/(F68-0)&lt;0.005,"*",100*86008/(F68-0)),0)</f>
        <v>3.3596875000000002</v>
      </c>
    </row>
    <row r="42" spans="1:7" x14ac:dyDescent="0.2">
      <c r="A42" s="11" t="s">
        <v>143</v>
      </c>
      <c r="B42" s="17">
        <v>39418</v>
      </c>
      <c r="C42" s="17">
        <v>0</v>
      </c>
      <c r="D42" s="17">
        <v>39149</v>
      </c>
      <c r="E42" s="17">
        <v>39149</v>
      </c>
      <c r="F42" s="17">
        <v>35275</v>
      </c>
      <c r="G42" s="18">
        <f>IF(AND(F68&lt;&gt;0,35275&lt;&gt;0),IF(100*35275/(F68-0)&lt;0.005,"*",100*35275/(F68-0)),0)</f>
        <v>1.3779296875</v>
      </c>
    </row>
    <row r="43" spans="1:7" x14ac:dyDescent="0.2">
      <c r="A43" s="11" t="s">
        <v>144</v>
      </c>
      <c r="B43" s="17">
        <v>32418</v>
      </c>
      <c r="C43" s="17">
        <v>0</v>
      </c>
      <c r="D43" s="17">
        <v>32197</v>
      </c>
      <c r="E43" s="17">
        <v>32197</v>
      </c>
      <c r="F43" s="17">
        <v>29011</v>
      </c>
      <c r="G43" s="18">
        <f>IF(AND(F68&lt;&gt;0,29011&lt;&gt;0),IF(100*29011/(F68-0)&lt;0.005,"*",100*29011/(F68-0)),0)</f>
        <v>1.1332421875000001</v>
      </c>
    </row>
    <row r="44" spans="1:7" x14ac:dyDescent="0.2">
      <c r="A44" s="11" t="s">
        <v>145</v>
      </c>
      <c r="B44" s="17">
        <v>84195</v>
      </c>
      <c r="C44" s="17">
        <v>0</v>
      </c>
      <c r="D44" s="17">
        <v>83620</v>
      </c>
      <c r="E44" s="17">
        <v>83620</v>
      </c>
      <c r="F44" s="17">
        <v>75346</v>
      </c>
      <c r="G44" s="18">
        <f>IF(AND(F68&lt;&gt;0,75346&lt;&gt;0),IF(100*75346/(F68-0)&lt;0.005,"*",100*75346/(F68-0)),0)</f>
        <v>2.9432031250000001</v>
      </c>
    </row>
    <row r="45" spans="1:7" x14ac:dyDescent="0.2">
      <c r="A45" s="11" t="s">
        <v>146</v>
      </c>
      <c r="B45" s="17">
        <v>6599</v>
      </c>
      <c r="C45" s="17">
        <v>0</v>
      </c>
      <c r="D45" s="17">
        <v>6554</v>
      </c>
      <c r="E45" s="17">
        <v>6554</v>
      </c>
      <c r="F45" s="17">
        <v>5905</v>
      </c>
      <c r="G45" s="18">
        <f>IF(AND(F68&lt;&gt;0,5905&lt;&gt;0),IF(100*5905/(F68-0)&lt;0.005,"*",100*5905/(F68-0)),0)</f>
        <v>0.23066406249999999</v>
      </c>
    </row>
    <row r="46" spans="1:7" x14ac:dyDescent="0.2">
      <c r="A46" s="11" t="s">
        <v>147</v>
      </c>
      <c r="B46" s="17">
        <v>50746</v>
      </c>
      <c r="C46" s="17">
        <v>0</v>
      </c>
      <c r="D46" s="17">
        <v>50400</v>
      </c>
      <c r="E46" s="17">
        <v>50400</v>
      </c>
      <c r="F46" s="17">
        <v>45413</v>
      </c>
      <c r="G46" s="18">
        <f>IF(AND(F68&lt;&gt;0,45413&lt;&gt;0),IF(100*45413/(F68-0)&lt;0.005,"*",100*45413/(F68-0)),0)</f>
        <v>1.7739453125</v>
      </c>
    </row>
    <row r="47" spans="1:7" x14ac:dyDescent="0.2">
      <c r="A47" s="11" t="s">
        <v>148</v>
      </c>
      <c r="B47" s="17">
        <v>7205</v>
      </c>
      <c r="C47" s="17">
        <v>0</v>
      </c>
      <c r="D47" s="17">
        <v>7156</v>
      </c>
      <c r="E47" s="17">
        <v>7156</v>
      </c>
      <c r="F47" s="17">
        <v>6448</v>
      </c>
      <c r="G47" s="18">
        <f>IF(AND(F68&lt;&gt;0,6448&lt;&gt;0),IF(100*6448/(F68-0)&lt;0.005,"*",100*6448/(F68-0)),0)</f>
        <v>0.25187500000000002</v>
      </c>
    </row>
    <row r="48" spans="1:7" x14ac:dyDescent="0.2">
      <c r="A48" s="11" t="s">
        <v>149</v>
      </c>
      <c r="B48" s="17">
        <v>66924</v>
      </c>
      <c r="C48" s="17">
        <v>0</v>
      </c>
      <c r="D48" s="17">
        <v>66468</v>
      </c>
      <c r="E48" s="17">
        <v>66468</v>
      </c>
      <c r="F48" s="17">
        <v>59890</v>
      </c>
      <c r="G48" s="18">
        <f>IF(AND(F68&lt;&gt;0,59890&lt;&gt;0),IF(100*59890/(F68-0)&lt;0.005,"*",100*59890/(F68-0)),0)</f>
        <v>2.3394531249999999</v>
      </c>
    </row>
    <row r="49" spans="1:7" x14ac:dyDescent="0.2">
      <c r="A49" s="11" t="s">
        <v>150</v>
      </c>
      <c r="B49" s="17">
        <v>292749</v>
      </c>
      <c r="C49" s="17">
        <v>0</v>
      </c>
      <c r="D49" s="17">
        <v>290754</v>
      </c>
      <c r="E49" s="17">
        <v>290754</v>
      </c>
      <c r="F49" s="17">
        <v>261982</v>
      </c>
      <c r="G49" s="18">
        <f>IF(AND(F68&lt;&gt;0,261982&lt;&gt;0),IF(100*261982/(F68-0)&lt;0.005,"*",100*261982/(F68-0)),0)</f>
        <v>10.233671875000001</v>
      </c>
    </row>
    <row r="50" spans="1:7" x14ac:dyDescent="0.2">
      <c r="A50" s="11" t="s">
        <v>151</v>
      </c>
      <c r="B50" s="17">
        <v>33287</v>
      </c>
      <c r="C50" s="17">
        <v>0</v>
      </c>
      <c r="D50" s="17">
        <v>33060</v>
      </c>
      <c r="E50" s="17">
        <v>33060</v>
      </c>
      <c r="F50" s="17">
        <v>29789</v>
      </c>
      <c r="G50" s="18">
        <f>IF(AND(F68&lt;&gt;0,29789&lt;&gt;0),IF(100*29789/(F68-0)&lt;0.005,"*",100*29789/(F68-0)),0)</f>
        <v>1.1636328124999999</v>
      </c>
    </row>
    <row r="51" spans="1:7" x14ac:dyDescent="0.2">
      <c r="A51" s="11" t="s">
        <v>152</v>
      </c>
      <c r="B51" s="17">
        <v>3698</v>
      </c>
      <c r="C51" s="17">
        <v>0</v>
      </c>
      <c r="D51" s="17">
        <v>3673</v>
      </c>
      <c r="E51" s="17">
        <v>3673</v>
      </c>
      <c r="F51" s="17">
        <v>3310</v>
      </c>
      <c r="G51" s="18">
        <f>IF(AND(F68&lt;&gt;0,3310&lt;&gt;0),IF(100*3310/(F68-0)&lt;0.005,"*",100*3310/(F68-0)),0)</f>
        <v>0.12929687500000001</v>
      </c>
    </row>
    <row r="52" spans="1:7" x14ac:dyDescent="0.2">
      <c r="A52" s="11" t="s">
        <v>153</v>
      </c>
      <c r="B52" s="17">
        <v>55372</v>
      </c>
      <c r="C52" s="17">
        <v>0</v>
      </c>
      <c r="D52" s="17">
        <v>54995</v>
      </c>
      <c r="E52" s="17">
        <v>54995</v>
      </c>
      <c r="F52" s="17">
        <v>49553</v>
      </c>
      <c r="G52" s="18">
        <f>IF(AND(F68&lt;&gt;0,49553&lt;&gt;0),IF(100*49553/(F68-0)&lt;0.005,"*",100*49553/(F68-0)),0)</f>
        <v>1.9356640624999999</v>
      </c>
    </row>
    <row r="53" spans="1:7" x14ac:dyDescent="0.2">
      <c r="A53" s="11" t="s">
        <v>154</v>
      </c>
      <c r="B53" s="17">
        <v>48937</v>
      </c>
      <c r="C53" s="17">
        <v>0</v>
      </c>
      <c r="D53" s="17">
        <v>48604</v>
      </c>
      <c r="E53" s="17">
        <v>48604</v>
      </c>
      <c r="F53" s="17">
        <v>43794</v>
      </c>
      <c r="G53" s="18">
        <f>IF(AND(F68&lt;&gt;0,43794&lt;&gt;0),IF(100*43794/(F68-0)&lt;0.005,"*",100*43794/(F68-0)),0)</f>
        <v>1.710703125</v>
      </c>
    </row>
    <row r="54" spans="1:7" x14ac:dyDescent="0.2">
      <c r="A54" s="11" t="s">
        <v>155</v>
      </c>
      <c r="B54" s="17">
        <v>18028</v>
      </c>
      <c r="C54" s="17">
        <v>0</v>
      </c>
      <c r="D54" s="17">
        <v>17905</v>
      </c>
      <c r="E54" s="17">
        <v>17905</v>
      </c>
      <c r="F54" s="17">
        <v>16133</v>
      </c>
      <c r="G54" s="18">
        <f>IF(AND(F68&lt;&gt;0,16133&lt;&gt;0),IF(100*16133/(F68-0)&lt;0.005,"*",100*16133/(F68-0)),0)</f>
        <v>0.63019531250000005</v>
      </c>
    </row>
    <row r="55" spans="1:7" x14ac:dyDescent="0.2">
      <c r="A55" s="11" t="s">
        <v>156</v>
      </c>
      <c r="B55" s="17">
        <v>42824</v>
      </c>
      <c r="C55" s="17">
        <v>0</v>
      </c>
      <c r="D55" s="17">
        <v>42532</v>
      </c>
      <c r="E55" s="17">
        <v>42532</v>
      </c>
      <c r="F55" s="17">
        <v>38323</v>
      </c>
      <c r="G55" s="18">
        <f>IF(AND(F68&lt;&gt;0,38323&lt;&gt;0),IF(100*38323/(F68-0)&lt;0.005,"*",100*38323/(F68-0)),0)</f>
        <v>1.4969921875000001</v>
      </c>
    </row>
    <row r="56" spans="1:7" x14ac:dyDescent="0.2">
      <c r="A56" s="11" t="s">
        <v>157</v>
      </c>
      <c r="B56" s="17">
        <v>3545</v>
      </c>
      <c r="C56" s="17">
        <v>0</v>
      </c>
      <c r="D56" s="17">
        <v>3520</v>
      </c>
      <c r="E56" s="17">
        <v>3520</v>
      </c>
      <c r="F56" s="17">
        <v>3172</v>
      </c>
      <c r="G56" s="18">
        <f>IF(AND(F68&lt;&gt;0,3172&lt;&gt;0),IF(100*3172/(F68-0)&lt;0.005,"*",100*3172/(F68-0)),0)</f>
        <v>0.12390625</v>
      </c>
    </row>
    <row r="57" spans="1:7" x14ac:dyDescent="0.2">
      <c r="A57" s="11" t="s">
        <v>158</v>
      </c>
      <c r="B57" s="17">
        <v>3735</v>
      </c>
      <c r="C57" s="17">
        <v>0</v>
      </c>
      <c r="D57" s="17">
        <v>3710</v>
      </c>
      <c r="E57" s="17">
        <v>3710</v>
      </c>
      <c r="F57" s="17">
        <v>3348</v>
      </c>
      <c r="G57" s="18">
        <f>IF(AND(F68&lt;&gt;0,3348&lt;&gt;0),IF(100*3348/(F68-0)&lt;0.005,"*",100*3348/(F68-0)),0)</f>
        <v>0.13078124999999999</v>
      </c>
    </row>
    <row r="58" spans="1:7" x14ac:dyDescent="0.2">
      <c r="A58" s="11" t="s">
        <v>159</v>
      </c>
      <c r="B58" s="17">
        <v>5383</v>
      </c>
      <c r="C58" s="17">
        <v>0</v>
      </c>
      <c r="D58" s="17">
        <v>5346</v>
      </c>
      <c r="E58" s="17">
        <v>5346</v>
      </c>
      <c r="F58" s="17">
        <v>4825</v>
      </c>
      <c r="G58" s="18">
        <f>IF(AND(F68&lt;&gt;0,4825&lt;&gt;0),IF(100*4825/(F68-0)&lt;0.005,"*",100*4825/(F68-0)),0)</f>
        <v>0.1884765625</v>
      </c>
    </row>
    <row r="59" spans="1:7" x14ac:dyDescent="0.2">
      <c r="A59" s="11" t="s">
        <v>160</v>
      </c>
      <c r="B59" s="17">
        <v>2337</v>
      </c>
      <c r="C59" s="17">
        <v>0</v>
      </c>
      <c r="D59" s="17">
        <v>2321</v>
      </c>
      <c r="E59" s="17">
        <v>2321</v>
      </c>
      <c r="F59" s="17">
        <v>2095</v>
      </c>
      <c r="G59" s="18">
        <f>IF(AND(F68&lt;&gt;0,2095&lt;&gt;0),IF(100*2095/(F68-0)&lt;0.005,"*",100*2095/(F68-0)),0)</f>
        <v>8.1835937499999997E-2</v>
      </c>
    </row>
    <row r="60" spans="1:7" x14ac:dyDescent="0.2">
      <c r="A60" s="11" t="s">
        <v>161</v>
      </c>
      <c r="B60" s="17">
        <v>32120</v>
      </c>
      <c r="C60" s="17">
        <v>0</v>
      </c>
      <c r="D60" s="17">
        <v>31900</v>
      </c>
      <c r="E60" s="17">
        <v>31900</v>
      </c>
      <c r="F60" s="17">
        <v>28744</v>
      </c>
      <c r="G60" s="18">
        <f>IF(AND(F68&lt;&gt;0,28744&lt;&gt;0),IF(100*28744/(F68-0)&lt;0.005,"*",100*28744/(F68-0)),0)</f>
        <v>1.1228125</v>
      </c>
    </row>
    <row r="61" spans="1:7" x14ac:dyDescent="0.2">
      <c r="A61" s="11" t="s">
        <v>162</v>
      </c>
      <c r="B61" s="17">
        <v>0</v>
      </c>
      <c r="C61" s="17">
        <v>0</v>
      </c>
      <c r="D61" s="17">
        <v>0</v>
      </c>
      <c r="E61" s="17">
        <v>0</v>
      </c>
      <c r="F61" s="17">
        <v>0</v>
      </c>
      <c r="G61" s="18">
        <f>IF(AND(F68&lt;&gt;0,0&lt;&gt;0),IF(100*0/(F68-0)&lt;0.005,"*",100*0/(F68-0)),0)</f>
        <v>0</v>
      </c>
    </row>
    <row r="62" spans="1:7" x14ac:dyDescent="0.2">
      <c r="A62" s="11" t="s">
        <v>163</v>
      </c>
      <c r="B62" s="17">
        <v>2825</v>
      </c>
      <c r="C62" s="17">
        <v>0</v>
      </c>
      <c r="D62" s="17">
        <v>2806</v>
      </c>
      <c r="E62" s="17">
        <v>2806</v>
      </c>
      <c r="F62" s="17">
        <v>2532</v>
      </c>
      <c r="G62" s="18">
        <f>IF(AND(F68&lt;&gt;0,2532&lt;&gt;0),IF(100*2532/(F68-0)&lt;0.005,"*",100*2532/(F68-0)),0)</f>
        <v>9.8906250000000001E-2</v>
      </c>
    </row>
    <row r="63" spans="1:7" x14ac:dyDescent="0.2">
      <c r="A63" s="11" t="s">
        <v>164</v>
      </c>
      <c r="B63" s="17">
        <v>78540</v>
      </c>
      <c r="C63" s="17">
        <v>0</v>
      </c>
      <c r="D63" s="17">
        <v>78007</v>
      </c>
      <c r="E63" s="17">
        <v>78007</v>
      </c>
      <c r="F63" s="17">
        <v>70400</v>
      </c>
      <c r="G63" s="18">
        <f>IF(AND(F68&lt;&gt;0,70400&lt;&gt;0),IF(100*70400/(F68-0)&lt;0.005,"*",100*70400/(F68-0)),0)</f>
        <v>2.75</v>
      </c>
    </row>
    <row r="64" spans="1:7" x14ac:dyDescent="0.2">
      <c r="A64" s="11" t="s">
        <v>165</v>
      </c>
      <c r="B64" s="17">
        <v>0</v>
      </c>
      <c r="C64" s="17">
        <v>0</v>
      </c>
      <c r="D64" s="17">
        <v>0</v>
      </c>
      <c r="E64" s="17">
        <v>0</v>
      </c>
      <c r="F64" s="17">
        <v>0</v>
      </c>
      <c r="G64" s="18">
        <v>0</v>
      </c>
    </row>
    <row r="65" spans="1:7" x14ac:dyDescent="0.2">
      <c r="A65" s="11" t="s">
        <v>206</v>
      </c>
      <c r="B65" s="17">
        <v>14035</v>
      </c>
      <c r="C65" s="17">
        <v>0</v>
      </c>
      <c r="D65" s="17">
        <v>14183</v>
      </c>
      <c r="E65" s="17">
        <v>14183</v>
      </c>
      <c r="F65" s="17">
        <v>12800</v>
      </c>
      <c r="G65" s="18">
        <f>IF(AND(F68&lt;&gt;0,12800&lt;&gt;0),IF(100*12800/(F68-0)&lt;0.005,"*",100*12800/(F68-0)),0)</f>
        <v>0.5</v>
      </c>
    </row>
    <row r="66" spans="1:7" x14ac:dyDescent="0.2">
      <c r="A66" s="11" t="s">
        <v>209</v>
      </c>
      <c r="B66" s="17">
        <v>775</v>
      </c>
      <c r="C66" s="17">
        <v>0</v>
      </c>
      <c r="D66" s="17">
        <v>1500</v>
      </c>
      <c r="E66" s="17">
        <v>1500</v>
      </c>
      <c r="F66" s="17">
        <v>1500</v>
      </c>
      <c r="G66" s="18">
        <f>IF(AND(F68&lt;&gt;0,1500&lt;&gt;0),IF(100*1500/(F68-0)&lt;0.005,"*",100*1500/(F68-0)),0)</f>
        <v>5.859375E-2</v>
      </c>
    </row>
    <row r="67" spans="1:7" x14ac:dyDescent="0.2">
      <c r="A67" s="11" t="s">
        <v>184</v>
      </c>
      <c r="B67" s="17">
        <v>9995</v>
      </c>
      <c r="C67" s="17">
        <v>0</v>
      </c>
      <c r="D67" s="17">
        <v>10000</v>
      </c>
      <c r="E67" s="17">
        <v>10000</v>
      </c>
      <c r="F67" s="17">
        <v>12800</v>
      </c>
      <c r="G67" s="18">
        <f>IF(AND(F68&lt;&gt;0,12800&lt;&gt;0),IF(100*12800/(F68-0)&lt;0.005,"*",100*12800/(F68-0)),0)</f>
        <v>0.5</v>
      </c>
    </row>
    <row r="68" spans="1:7" ht="15" customHeight="1" x14ac:dyDescent="0.2">
      <c r="A68" s="19" t="s">
        <v>106</v>
      </c>
      <c r="B68" s="20">
        <f>53212+5331+71548+33627+305024+35389+18404+7674+4614+168392+119099+10254+16762+99949+64662+24584+25907+51660+50191+9058+36159+35601+84094+38301+39442+53776+8062+15608+25644+5950+51269+24267+128772+96486+4453+96109+39418+32418+84195+6599+50746+7205+66924+292749+33287+3698+55372+48937+18028+42824+3545+3735+5383+2337+32120+0+2825+78540+0+14035+775+9995+0</f>
        <v>2855024</v>
      </c>
      <c r="C68" s="20">
        <f>0+0+0+0+0+0+0+0+0+0+0+0+0+0+0+0+0+0+0+0+0+0+0+0+0+0+0+0+0+0+0+0+0+0+0+0+0+0+0+0+0+0+0+0+0+0+0+0+0+0+0+0+0+0+0+0+0+0+0+0+0+0+0</f>
        <v>0</v>
      </c>
      <c r="D68" s="20">
        <f>52849+5294+71060+33398+302946+35147+18278+7621+4582+167245+118286+10184+16647+99268+64221+24416+25730+51307+49849+8996+35913+35358+83520+38040+39173+53410+8007+15502+25469+5909+50919+24101+127895+95828+4423+95454+39149+32197+83620+6554+50400+7156+66468+290754+33060+3673+54995+48604+17905+42532+3520+3710+5346+2321+31900+0+2806+78007+0+14183+1500+10000+0</f>
        <v>2836605</v>
      </c>
      <c r="E68" s="20">
        <f>SUM(C68:D68)</f>
        <v>2836605</v>
      </c>
      <c r="F68" s="20">
        <f>47619+4771+64029+30093+272967+31669+16469+6867+4129+150695+106581+9176+15000+89445+57866+22000+23184+46230+44916+8106+32359+31859+75256+34276+35296+48124+7215+13968+22949+5325+45880+21716+115239+86345+3985+86008+35275+29011+75346+5905+45413+6448+59890+261982+29789+3310+49553+43794+16133+38323+3172+3348+4825+2095+28744+0+2532+70400+0+12800+1500+12800+0</f>
        <v>2560000</v>
      </c>
      <c r="G68" s="21" t="s">
        <v>166</v>
      </c>
    </row>
    <row r="69" spans="1:7" ht="15" customHeight="1" x14ac:dyDescent="0.2">
      <c r="A69" s="65" t="s">
        <v>168</v>
      </c>
      <c r="B69" s="65"/>
      <c r="C69" s="65"/>
      <c r="D69" s="65"/>
      <c r="E69" s="65"/>
      <c r="F69" s="65"/>
      <c r="G69" s="65"/>
    </row>
  </sheetData>
  <mergeCells count="5">
    <mergeCell ref="A69:G69"/>
    <mergeCell ref="A4:A5"/>
    <mergeCell ref="B4:B5"/>
    <mergeCell ref="F4:F5"/>
    <mergeCell ref="G4:G5"/>
  </mergeCells>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zoomScaleNormal="100" workbookViewId="0">
      <pane ySplit="4" topLeftCell="A5" activePane="bottomLeft" state="frozen"/>
      <selection pane="bottomLeft"/>
    </sheetView>
  </sheetViews>
  <sheetFormatPr defaultRowHeight="12.75" x14ac:dyDescent="0.2"/>
  <cols>
    <col min="1" max="1" width="15.7109375" style="1" customWidth="1"/>
    <col min="2" max="2" width="20.5703125" style="2" customWidth="1"/>
    <col min="3" max="3" width="39.42578125" style="2" customWidth="1"/>
    <col min="4" max="4" width="15.42578125" style="3" customWidth="1"/>
  </cols>
  <sheetData>
    <row r="1" spans="1:4" ht="20.25" customHeight="1" x14ac:dyDescent="0.3">
      <c r="A1" s="4" t="s">
        <v>409</v>
      </c>
      <c r="B1" s="5"/>
      <c r="C1" s="5"/>
      <c r="D1" s="6"/>
    </row>
    <row r="2" spans="1:4" ht="18" customHeight="1" x14ac:dyDescent="0.25">
      <c r="A2" s="7" t="s">
        <v>0</v>
      </c>
      <c r="B2" s="5"/>
      <c r="C2" s="5"/>
      <c r="D2" s="6"/>
    </row>
    <row r="3" spans="1:4" ht="18" customHeight="1" x14ac:dyDescent="0.25">
      <c r="A3" s="7"/>
      <c r="B3" s="5"/>
      <c r="C3" s="5"/>
      <c r="D3" s="6"/>
    </row>
    <row r="4" spans="1:4" x14ac:dyDescent="0.2">
      <c r="A4" s="8" t="s">
        <v>1</v>
      </c>
      <c r="B4" s="8" t="s">
        <v>2</v>
      </c>
      <c r="C4" s="8" t="s">
        <v>3</v>
      </c>
      <c r="D4" s="9" t="s">
        <v>4</v>
      </c>
    </row>
    <row r="6" spans="1:4" x14ac:dyDescent="0.2">
      <c r="A6" s="1" t="s">
        <v>410</v>
      </c>
      <c r="B6" s="2" t="s">
        <v>412</v>
      </c>
    </row>
    <row r="7" spans="1:4" x14ac:dyDescent="0.2">
      <c r="A7" s="1" t="s">
        <v>411</v>
      </c>
      <c r="B7" s="2" t="s">
        <v>413</v>
      </c>
    </row>
    <row r="9" spans="1:4" ht="25.5" x14ac:dyDescent="0.2">
      <c r="A9" s="1" t="s">
        <v>5</v>
      </c>
      <c r="B9" s="10" t="s">
        <v>6</v>
      </c>
      <c r="C9" s="11" t="s">
        <v>7</v>
      </c>
      <c r="D9" s="3">
        <v>10.553000000000001</v>
      </c>
    </row>
    <row r="10" spans="1:4" ht="25.5" x14ac:dyDescent="0.2">
      <c r="A10" s="1" t="s">
        <v>8</v>
      </c>
      <c r="B10" s="10" t="s">
        <v>6</v>
      </c>
      <c r="C10" s="11" t="s">
        <v>9</v>
      </c>
      <c r="D10" s="3">
        <v>10.555</v>
      </c>
    </row>
    <row r="11" spans="1:4" ht="25.5" x14ac:dyDescent="0.2">
      <c r="A11" s="1" t="s">
        <v>10</v>
      </c>
      <c r="B11" s="10" t="s">
        <v>6</v>
      </c>
      <c r="C11" s="11" t="s">
        <v>11</v>
      </c>
      <c r="D11" s="3">
        <v>10.557</v>
      </c>
    </row>
    <row r="12" spans="1:4" ht="25.5" x14ac:dyDescent="0.2">
      <c r="A12" s="1" t="s">
        <v>12</v>
      </c>
      <c r="B12" s="10" t="s">
        <v>6</v>
      </c>
      <c r="C12" s="11" t="s">
        <v>13</v>
      </c>
      <c r="D12" s="3">
        <v>10.558</v>
      </c>
    </row>
    <row r="13" spans="1:4" ht="38.25" x14ac:dyDescent="0.2">
      <c r="A13" s="1" t="s">
        <v>14</v>
      </c>
      <c r="B13" s="10" t="s">
        <v>6</v>
      </c>
      <c r="C13" s="11" t="s">
        <v>15</v>
      </c>
      <c r="D13" s="3">
        <v>10.561</v>
      </c>
    </row>
    <row r="14" spans="1:4" ht="38.25" x14ac:dyDescent="0.2">
      <c r="A14" s="1" t="s">
        <v>16</v>
      </c>
      <c r="B14" s="10" t="s">
        <v>17</v>
      </c>
      <c r="C14" s="11" t="s">
        <v>18</v>
      </c>
      <c r="D14" s="3">
        <v>84.01</v>
      </c>
    </row>
    <row r="15" spans="1:4" ht="38.25" x14ac:dyDescent="0.2">
      <c r="A15" s="1" t="s">
        <v>19</v>
      </c>
      <c r="B15" s="10" t="s">
        <v>17</v>
      </c>
      <c r="C15" s="11" t="s">
        <v>20</v>
      </c>
      <c r="D15" s="3">
        <v>84.367000000000004</v>
      </c>
    </row>
    <row r="16" spans="1:4" ht="38.25" x14ac:dyDescent="0.2">
      <c r="A16" s="1" t="s">
        <v>21</v>
      </c>
      <c r="B16" s="10" t="s">
        <v>22</v>
      </c>
      <c r="C16" s="11" t="s">
        <v>23</v>
      </c>
      <c r="D16" s="3">
        <v>84.027000000000001</v>
      </c>
    </row>
    <row r="17" spans="1:4" ht="38.25" x14ac:dyDescent="0.2">
      <c r="A17" s="1" t="s">
        <v>24</v>
      </c>
      <c r="B17" s="10" t="s">
        <v>22</v>
      </c>
      <c r="C17" s="11" t="s">
        <v>25</v>
      </c>
      <c r="D17" s="3">
        <v>84.126000000000005</v>
      </c>
    </row>
    <row r="18" spans="1:4" ht="51" x14ac:dyDescent="0.2">
      <c r="A18" s="1" t="s">
        <v>26</v>
      </c>
      <c r="B18" s="10" t="s">
        <v>27</v>
      </c>
      <c r="C18" s="11" t="s">
        <v>28</v>
      </c>
      <c r="D18" s="3">
        <v>93.766999999999996</v>
      </c>
    </row>
    <row r="19" spans="1:4" ht="51" x14ac:dyDescent="0.2">
      <c r="A19" s="1" t="s">
        <v>29</v>
      </c>
      <c r="B19" s="10" t="s">
        <v>27</v>
      </c>
      <c r="C19" s="11" t="s">
        <v>30</v>
      </c>
      <c r="D19" s="3">
        <v>93.778000000000006</v>
      </c>
    </row>
    <row r="20" spans="1:4" ht="51" x14ac:dyDescent="0.2">
      <c r="A20" s="1" t="s">
        <v>31</v>
      </c>
      <c r="B20" s="10" t="s">
        <v>32</v>
      </c>
      <c r="C20" s="11" t="s">
        <v>33</v>
      </c>
      <c r="D20" s="3">
        <v>93.558000000000007</v>
      </c>
    </row>
    <row r="21" spans="1:4" ht="51" x14ac:dyDescent="0.2">
      <c r="A21" s="1" t="s">
        <v>34</v>
      </c>
      <c r="B21" s="10" t="s">
        <v>32</v>
      </c>
      <c r="C21" s="11" t="s">
        <v>35</v>
      </c>
      <c r="D21" s="3">
        <v>93.563000000000002</v>
      </c>
    </row>
    <row r="22" spans="1:4" ht="51" x14ac:dyDescent="0.2">
      <c r="A22" s="1" t="s">
        <v>36</v>
      </c>
      <c r="B22" s="10" t="s">
        <v>32</v>
      </c>
      <c r="C22" s="11" t="s">
        <v>37</v>
      </c>
      <c r="D22" s="3">
        <v>93.567999999999998</v>
      </c>
    </row>
    <row r="23" spans="1:4" ht="51" x14ac:dyDescent="0.2">
      <c r="A23" s="1" t="s">
        <v>38</v>
      </c>
      <c r="B23" s="10" t="s">
        <v>32</v>
      </c>
      <c r="C23" s="11" t="s">
        <v>39</v>
      </c>
      <c r="D23" s="3">
        <v>93.575000000000003</v>
      </c>
    </row>
    <row r="24" spans="1:4" ht="51" x14ac:dyDescent="0.2">
      <c r="A24" s="1" t="s">
        <v>40</v>
      </c>
      <c r="B24" s="10" t="s">
        <v>32</v>
      </c>
      <c r="C24" s="11" t="s">
        <v>41</v>
      </c>
      <c r="D24" s="3" t="s">
        <v>42</v>
      </c>
    </row>
    <row r="25" spans="1:4" ht="51" x14ac:dyDescent="0.2">
      <c r="A25" s="1" t="s">
        <v>43</v>
      </c>
      <c r="B25" s="10" t="s">
        <v>32</v>
      </c>
      <c r="C25" s="11" t="s">
        <v>44</v>
      </c>
      <c r="D25" s="3" t="s">
        <v>45</v>
      </c>
    </row>
    <row r="26" spans="1:4" ht="51" x14ac:dyDescent="0.2">
      <c r="A26" s="1" t="s">
        <v>46</v>
      </c>
      <c r="B26" s="10" t="s">
        <v>32</v>
      </c>
      <c r="C26" s="11" t="s">
        <v>47</v>
      </c>
      <c r="D26" s="3">
        <v>93.6</v>
      </c>
    </row>
    <row r="27" spans="1:4" ht="51" x14ac:dyDescent="0.2">
      <c r="A27" s="1" t="s">
        <v>48</v>
      </c>
      <c r="B27" s="10" t="s">
        <v>32</v>
      </c>
      <c r="C27" s="11" t="s">
        <v>49</v>
      </c>
      <c r="D27" s="3">
        <v>93.658000000000001</v>
      </c>
    </row>
    <row r="28" spans="1:4" ht="51" x14ac:dyDescent="0.2">
      <c r="A28" s="1" t="s">
        <v>50</v>
      </c>
      <c r="B28" s="10" t="s">
        <v>32</v>
      </c>
      <c r="C28" s="11" t="s">
        <v>51</v>
      </c>
      <c r="D28" s="3">
        <v>93.659000000000006</v>
      </c>
    </row>
    <row r="29" spans="1:4" ht="51" x14ac:dyDescent="0.2">
      <c r="A29" s="1" t="s">
        <v>52</v>
      </c>
      <c r="B29" s="10" t="s">
        <v>32</v>
      </c>
      <c r="C29" s="11" t="s">
        <v>53</v>
      </c>
      <c r="D29" s="3">
        <v>93.667000000000002</v>
      </c>
    </row>
    <row r="30" spans="1:4" ht="51" x14ac:dyDescent="0.2">
      <c r="A30" s="1" t="s">
        <v>54</v>
      </c>
      <c r="B30" s="10" t="s">
        <v>55</v>
      </c>
      <c r="C30" s="11" t="s">
        <v>56</v>
      </c>
      <c r="D30" s="3">
        <v>93.917000000000002</v>
      </c>
    </row>
    <row r="31" spans="1:4" ht="51" x14ac:dyDescent="0.2">
      <c r="A31" s="1" t="s">
        <v>57</v>
      </c>
      <c r="B31" s="10" t="s">
        <v>58</v>
      </c>
      <c r="C31" s="11" t="s">
        <v>59</v>
      </c>
      <c r="D31" s="3" t="s">
        <v>60</v>
      </c>
    </row>
    <row r="32" spans="1:4" ht="51" x14ac:dyDescent="0.2">
      <c r="A32" s="1" t="s">
        <v>61</v>
      </c>
      <c r="B32" s="10" t="s">
        <v>62</v>
      </c>
      <c r="C32" s="11" t="s">
        <v>63</v>
      </c>
      <c r="D32" s="3">
        <v>14.871</v>
      </c>
    </row>
    <row r="33" spans="1:4" ht="51" x14ac:dyDescent="0.2">
      <c r="A33" s="1" t="s">
        <v>64</v>
      </c>
      <c r="B33" s="10" t="s">
        <v>62</v>
      </c>
      <c r="C33" s="11" t="s">
        <v>65</v>
      </c>
      <c r="D33" s="3">
        <v>14.85</v>
      </c>
    </row>
    <row r="34" spans="1:4" ht="51" x14ac:dyDescent="0.2">
      <c r="A34" s="1" t="s">
        <v>66</v>
      </c>
      <c r="B34" s="10" t="s">
        <v>62</v>
      </c>
      <c r="C34" s="11" t="s">
        <v>67</v>
      </c>
      <c r="D34" s="3">
        <v>14.872</v>
      </c>
    </row>
    <row r="35" spans="1:4" ht="51" x14ac:dyDescent="0.2">
      <c r="A35" s="1" t="s">
        <v>68</v>
      </c>
      <c r="B35" s="10" t="s">
        <v>69</v>
      </c>
      <c r="C35" s="11" t="s">
        <v>70</v>
      </c>
      <c r="D35" s="3" t="s">
        <v>71</v>
      </c>
    </row>
    <row r="36" spans="1:4" ht="51" x14ac:dyDescent="0.2">
      <c r="A36" s="1" t="s">
        <v>72</v>
      </c>
      <c r="B36" s="10" t="s">
        <v>69</v>
      </c>
      <c r="C36" s="11" t="s">
        <v>73</v>
      </c>
      <c r="D36" s="3" t="s">
        <v>74</v>
      </c>
    </row>
    <row r="37" spans="1:4" ht="38.25" x14ac:dyDescent="0.2">
      <c r="A37" s="1" t="s">
        <v>75</v>
      </c>
      <c r="B37" s="10" t="s">
        <v>76</v>
      </c>
      <c r="C37" s="11" t="s">
        <v>77</v>
      </c>
      <c r="D37" s="3">
        <v>17.225000000000001</v>
      </c>
    </row>
    <row r="38" spans="1:4" ht="51" x14ac:dyDescent="0.2">
      <c r="A38" s="1" t="s">
        <v>78</v>
      </c>
      <c r="B38" s="10" t="s">
        <v>79</v>
      </c>
      <c r="C38" s="11" t="s">
        <v>80</v>
      </c>
      <c r="D38" s="3">
        <v>20.507000000000001</v>
      </c>
    </row>
    <row r="39" spans="1:4" ht="51" x14ac:dyDescent="0.2">
      <c r="A39" s="1" t="s">
        <v>81</v>
      </c>
      <c r="B39" s="10" t="s">
        <v>82</v>
      </c>
      <c r="C39" s="11" t="s">
        <v>83</v>
      </c>
      <c r="D39" s="3">
        <v>20.106000000000002</v>
      </c>
    </row>
    <row r="40" spans="1:4" ht="51" x14ac:dyDescent="0.2">
      <c r="A40" s="1" t="s">
        <v>84</v>
      </c>
      <c r="B40" s="10" t="s">
        <v>85</v>
      </c>
      <c r="C40" s="11" t="s">
        <v>86</v>
      </c>
      <c r="D40" s="3">
        <v>20.204999999999998</v>
      </c>
    </row>
    <row r="41" spans="1:4" ht="38.25" x14ac:dyDescent="0.2">
      <c r="A41" s="1" t="s">
        <v>87</v>
      </c>
      <c r="B41" s="10" t="s">
        <v>88</v>
      </c>
      <c r="C41" s="11" t="s">
        <v>89</v>
      </c>
      <c r="D41" s="3">
        <v>66.457999999999998</v>
      </c>
    </row>
    <row r="42" spans="1:4" ht="38.25" x14ac:dyDescent="0.2">
      <c r="A42" s="1" t="s">
        <v>90</v>
      </c>
      <c r="B42" s="10" t="s">
        <v>88</v>
      </c>
      <c r="C42" s="11" t="s">
        <v>91</v>
      </c>
      <c r="D42" s="3">
        <v>66.468000000000004</v>
      </c>
    </row>
    <row r="43" spans="1:4" ht="25.5" x14ac:dyDescent="0.2">
      <c r="A43" s="1" t="s">
        <v>92</v>
      </c>
      <c r="B43" s="10" t="s">
        <v>93</v>
      </c>
      <c r="C43" s="11" t="s">
        <v>94</v>
      </c>
      <c r="D43" s="3" t="s">
        <v>414</v>
      </c>
    </row>
  </sheetData>
  <hyperlinks>
    <hyperlink ref="A9" location="'Table 14-5'!A1" display="'Table 14-5'!A1"/>
    <hyperlink ref="A10" location="'Table 14-6'!A1" display="'Table 14-6'!A1"/>
    <hyperlink ref="A11" location="'Table 14-7'!A1" display="'Table 14-7'!A1"/>
    <hyperlink ref="A12" location="'Table 14-8'!A1" display="'Table 14-8'!A1"/>
    <hyperlink ref="A13" location="'Table 14-9'!A1" display="'Table 14-9'!A1"/>
    <hyperlink ref="A14" location="'Table 14-10'!A1" display="'Table 14-10'!A1"/>
    <hyperlink ref="A15" location="'Table 14-11'!A1" display="'Table 14-11'!A1"/>
    <hyperlink ref="A16" location="'Table 14-12'!A1" display="'Table 14-12'!A1"/>
    <hyperlink ref="A17" location="'Table 14-13'!A1" display="'Table 14-13'!A1"/>
    <hyperlink ref="A18" location="'Table 14-14'!A1" display="'Table 14-14'!A1"/>
    <hyperlink ref="A19" location="'Table 14-15'!A1" display="'Table 14-15'!A1"/>
    <hyperlink ref="A20" location="'Table 14-16'!A1" display="'Table 14-16'!A1"/>
    <hyperlink ref="A21" location="'Table 14-17'!A1" display="'Table 14-17'!A1"/>
    <hyperlink ref="A22" location="'Table 14-18'!A1" display="'Table 14-18'!A1"/>
    <hyperlink ref="A23" location="'Table 14-19'!A1" display="'Table 14-19'!A1"/>
    <hyperlink ref="A24" location="'Table 14-20'!A1" display="'Table 14-20'!A1"/>
    <hyperlink ref="A25" location="'Table 14-21'!A1" display="'Table 14-21'!A1"/>
    <hyperlink ref="A26" location="'Table 14-22'!A1" display="'Table 14-22'!A1"/>
    <hyperlink ref="A27" location="'Table 14-23'!A1" display="'Table 14-23'!A1"/>
    <hyperlink ref="A28" location="'Table 14-24'!A1" display="'Table 14-24'!A1"/>
    <hyperlink ref="A29" location="'Table 14-25'!A1" display="'Table 14-25'!A1"/>
    <hyperlink ref="A30" location="'Table 14-26'!A1" display="'Table 14-26'!A1"/>
    <hyperlink ref="A31" location="'Table 14-27'!A1" display="'Table 14-27'!A1"/>
    <hyperlink ref="A32" location="'Table 14-28'!A1" display="'Table 14-28'!A1"/>
    <hyperlink ref="A33" location="'Table 14-29'!A1" display="'Table 14-29'!A1"/>
    <hyperlink ref="A34" location="'Table 14-30'!A1" display="'Table 14-30'!A1"/>
    <hyperlink ref="A35" location="'Table 14-31'!A1" display="'Table 14-31'!A1"/>
    <hyperlink ref="A36" location="'Table 14-32'!A1" display="'Table 14-32'!A1"/>
    <hyperlink ref="A37" location="'Table 14-33'!A1" display="'Table 14-33'!A1"/>
    <hyperlink ref="A38" location="'Table 14-34'!A1" display="'Table 14-34'!A1"/>
    <hyperlink ref="A39" location="'Table 14-35'!A1" display="'Table 14-35'!A1"/>
    <hyperlink ref="A40" location="'Table 14-36'!A1" display="'Table 14-36'!A1"/>
    <hyperlink ref="A41" location="'Table 14-37'!A1" display="'Table 14-37'!A1"/>
    <hyperlink ref="A42" location="'Table 14-38'!A1" display="'Table 14-38'!A1"/>
    <hyperlink ref="A43" location="'Table 14-39'!A1" display="'Table 14-39'!A1"/>
  </hyperlinks>
  <pageMargins left="0.7" right="0.7" top="0.75" bottom="0.75" header="0.3" footer="0.3"/>
  <pageSetup scale="4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210</v>
      </c>
    </row>
    <row r="2" spans="1:7" x14ac:dyDescent="0.2">
      <c r="A2" s="13" t="s">
        <v>211</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16442</v>
      </c>
      <c r="C6" s="17">
        <v>0</v>
      </c>
      <c r="D6" s="17">
        <v>16442</v>
      </c>
      <c r="E6" s="17">
        <v>16442</v>
      </c>
      <c r="F6" s="17">
        <v>16442</v>
      </c>
      <c r="G6" s="18">
        <f>IF(AND(F67&lt;&gt;0,16442&lt;&gt;0),IF(100*16442/(F67-0)&lt;0.005,"*",100*16442/(F67-0)),0)</f>
        <v>1.2793687970027194</v>
      </c>
    </row>
    <row r="7" spans="1:7" x14ac:dyDescent="0.2">
      <c r="A7" s="11" t="s">
        <v>108</v>
      </c>
      <c r="B7" s="17">
        <v>3545</v>
      </c>
      <c r="C7" s="17">
        <v>0</v>
      </c>
      <c r="D7" s="17">
        <v>3545</v>
      </c>
      <c r="E7" s="17">
        <v>3545</v>
      </c>
      <c r="F7" s="17">
        <v>3545</v>
      </c>
      <c r="G7" s="18">
        <f>IF(AND(F67&lt;&gt;0,3545&lt;&gt;0),IF(100*3545/(F67-0)&lt;0.005,"*",100*3545/(F67-0)),0)</f>
        <v>0.27584006722872162</v>
      </c>
    </row>
    <row r="8" spans="1:7" x14ac:dyDescent="0.2">
      <c r="A8" s="11" t="s">
        <v>109</v>
      </c>
      <c r="B8" s="17">
        <v>19827</v>
      </c>
      <c r="C8" s="17">
        <v>0</v>
      </c>
      <c r="D8" s="17">
        <v>19827</v>
      </c>
      <c r="E8" s="17">
        <v>19827</v>
      </c>
      <c r="F8" s="17">
        <v>19827</v>
      </c>
      <c r="G8" s="18">
        <f>IF(AND(F67&lt;&gt;0,19827&lt;&gt;0),IF(100*19827/(F67-0)&lt;0.005,"*",100*19827/(F67-0)),0)</f>
        <v>1.5427591009714705</v>
      </c>
    </row>
    <row r="9" spans="1:7" x14ac:dyDescent="0.2">
      <c r="A9" s="11" t="s">
        <v>110</v>
      </c>
      <c r="B9" s="17">
        <v>5300</v>
      </c>
      <c r="C9" s="17">
        <v>0</v>
      </c>
      <c r="D9" s="17">
        <v>5300</v>
      </c>
      <c r="E9" s="17">
        <v>5300</v>
      </c>
      <c r="F9" s="17">
        <v>5300</v>
      </c>
      <c r="G9" s="18">
        <f>IF(AND(F67&lt;&gt;0,5300&lt;&gt;0),IF(100*5300/(F67-0)&lt;0.005,"*",100*5300/(F67-0)),0)</f>
        <v>0.41239840798652311</v>
      </c>
    </row>
    <row r="10" spans="1:7" x14ac:dyDescent="0.2">
      <c r="A10" s="11" t="s">
        <v>111</v>
      </c>
      <c r="B10" s="17">
        <v>85592</v>
      </c>
      <c r="C10" s="17">
        <v>0</v>
      </c>
      <c r="D10" s="17">
        <v>85592</v>
      </c>
      <c r="E10" s="17">
        <v>85592</v>
      </c>
      <c r="F10" s="17">
        <v>85592</v>
      </c>
      <c r="G10" s="18">
        <f>IF(AND(F67&lt;&gt;0,85592&lt;&gt;0),IF(100*85592/(F67-0)&lt;0.005,"*",100*85592/(F67-0)),0)</f>
        <v>6.6600008559212238</v>
      </c>
    </row>
    <row r="11" spans="1:7" x14ac:dyDescent="0.2">
      <c r="A11" s="11" t="s">
        <v>112</v>
      </c>
      <c r="B11" s="17">
        <v>10174</v>
      </c>
      <c r="C11" s="17">
        <v>0</v>
      </c>
      <c r="D11" s="17">
        <v>10174</v>
      </c>
      <c r="E11" s="17">
        <v>10174</v>
      </c>
      <c r="F11" s="17">
        <v>10174</v>
      </c>
      <c r="G11" s="18">
        <f>IF(AND(F67&lt;&gt;0,10174&lt;&gt;0),IF(100*10174/(F67-0)&lt;0.005,"*",100*10174/(F67-0)),0)</f>
        <v>0.79164932129337473</v>
      </c>
    </row>
    <row r="12" spans="1:7" x14ac:dyDescent="0.2">
      <c r="A12" s="11" t="s">
        <v>113</v>
      </c>
      <c r="B12" s="17">
        <v>18738</v>
      </c>
      <c r="C12" s="17">
        <v>0</v>
      </c>
      <c r="D12" s="17">
        <v>18738</v>
      </c>
      <c r="E12" s="17">
        <v>18738</v>
      </c>
      <c r="F12" s="17">
        <v>18738</v>
      </c>
      <c r="G12" s="18">
        <f>IF(AND(F67&lt;&gt;0,18738&lt;&gt;0),IF(100*18738/(F67-0)&lt;0.005,"*",100*18738/(F67-0)),0)</f>
        <v>1.4580228997832962</v>
      </c>
    </row>
    <row r="13" spans="1:7" x14ac:dyDescent="0.2">
      <c r="A13" s="11" t="s">
        <v>114</v>
      </c>
      <c r="B13" s="17">
        <v>5179</v>
      </c>
      <c r="C13" s="17">
        <v>0</v>
      </c>
      <c r="D13" s="17">
        <v>5179</v>
      </c>
      <c r="E13" s="17">
        <v>5179</v>
      </c>
      <c r="F13" s="17">
        <v>5179</v>
      </c>
      <c r="G13" s="18">
        <f>IF(AND(F67&lt;&gt;0,5179&lt;&gt;0),IF(100*5179/(F67-0)&lt;0.005,"*",100*5179/(F67-0)),0)</f>
        <v>0.40298327452117044</v>
      </c>
    </row>
    <row r="14" spans="1:7" x14ac:dyDescent="0.2">
      <c r="A14" s="11" t="s">
        <v>115</v>
      </c>
      <c r="B14" s="17">
        <v>4567</v>
      </c>
      <c r="C14" s="17">
        <v>0</v>
      </c>
      <c r="D14" s="17">
        <v>4567</v>
      </c>
      <c r="E14" s="17">
        <v>4567</v>
      </c>
      <c r="F14" s="17">
        <v>4567</v>
      </c>
      <c r="G14" s="18">
        <f>IF(AND(F67&lt;&gt;0,4567&lt;&gt;0),IF(100*4567/(F67-0)&lt;0.005,"*",100*4567/(F67-0)),0)</f>
        <v>0.35536293005178321</v>
      </c>
    </row>
    <row r="15" spans="1:7" x14ac:dyDescent="0.2">
      <c r="A15" s="11" t="s">
        <v>116</v>
      </c>
      <c r="B15" s="17">
        <v>43027</v>
      </c>
      <c r="C15" s="17">
        <v>0</v>
      </c>
      <c r="D15" s="17">
        <v>43027</v>
      </c>
      <c r="E15" s="17">
        <v>43027</v>
      </c>
      <c r="F15" s="17">
        <v>43027</v>
      </c>
      <c r="G15" s="18">
        <f>IF(AND(F67&lt;&gt;0,43027&lt;&gt;0),IF(100*43027/(F67-0)&lt;0.005,"*",100*43027/(F67-0)),0)</f>
        <v>3.3479747736671945</v>
      </c>
    </row>
    <row r="16" spans="1:7" x14ac:dyDescent="0.2">
      <c r="A16" s="11" t="s">
        <v>117</v>
      </c>
      <c r="B16" s="17">
        <v>36548</v>
      </c>
      <c r="C16" s="17">
        <v>0</v>
      </c>
      <c r="D16" s="17">
        <v>36548</v>
      </c>
      <c r="E16" s="17">
        <v>36548</v>
      </c>
      <c r="F16" s="17">
        <v>36548</v>
      </c>
      <c r="G16" s="18">
        <f>IF(AND(F67&lt;&gt;0,36548&lt;&gt;0),IF(100*36548/(F67-0)&lt;0.005,"*",100*36548/(F67-0)),0)</f>
        <v>2.8438371726587635</v>
      </c>
    </row>
    <row r="17" spans="1:7" x14ac:dyDescent="0.2">
      <c r="A17" s="11" t="s">
        <v>118</v>
      </c>
      <c r="B17" s="17">
        <v>4972</v>
      </c>
      <c r="C17" s="17">
        <v>0</v>
      </c>
      <c r="D17" s="17">
        <v>4972</v>
      </c>
      <c r="E17" s="17">
        <v>4972</v>
      </c>
      <c r="F17" s="17">
        <v>4972</v>
      </c>
      <c r="G17" s="18">
        <f>IF(AND(F67&lt;&gt;0,4972&lt;&gt;0),IF(100*4972/(F67-0)&lt;0.005,"*",100*4972/(F67-0)),0)</f>
        <v>0.38687639330358359</v>
      </c>
    </row>
    <row r="18" spans="1:7" x14ac:dyDescent="0.2">
      <c r="A18" s="11" t="s">
        <v>119</v>
      </c>
      <c r="B18" s="17">
        <v>2868</v>
      </c>
      <c r="C18" s="17">
        <v>0</v>
      </c>
      <c r="D18" s="17">
        <v>2868</v>
      </c>
      <c r="E18" s="17">
        <v>2868</v>
      </c>
      <c r="F18" s="17">
        <v>2868</v>
      </c>
      <c r="G18" s="18">
        <f>IF(AND(F67&lt;&gt;0,2868&lt;&gt;0),IF(100*2868/(F67-0)&lt;0.005,"*",100*2868/(F67-0)),0)</f>
        <v>0.22316200643497139</v>
      </c>
    </row>
    <row r="19" spans="1:7" x14ac:dyDescent="0.2">
      <c r="A19" s="11" t="s">
        <v>120</v>
      </c>
      <c r="B19" s="17">
        <v>56874</v>
      </c>
      <c r="C19" s="17">
        <v>0</v>
      </c>
      <c r="D19" s="17">
        <v>56874</v>
      </c>
      <c r="E19" s="17">
        <v>56874</v>
      </c>
      <c r="F19" s="17">
        <v>56874</v>
      </c>
      <c r="G19" s="18">
        <f>IF(AND(F67&lt;&gt;0,56874&lt;&gt;0),IF(100*56874/(F67-0)&lt;0.005,"*",100*56874/(F67-0)),0)</f>
        <v>4.4254239727972671</v>
      </c>
    </row>
    <row r="20" spans="1:7" x14ac:dyDescent="0.2">
      <c r="A20" s="11" t="s">
        <v>121</v>
      </c>
      <c r="B20" s="17">
        <v>26182</v>
      </c>
      <c r="C20" s="17">
        <v>0</v>
      </c>
      <c r="D20" s="17">
        <v>26182</v>
      </c>
      <c r="E20" s="17">
        <v>26182</v>
      </c>
      <c r="F20" s="17">
        <v>26182</v>
      </c>
      <c r="G20" s="18">
        <f>IF(AND(F67&lt;&gt;0,26182&lt;&gt;0),IF(100*26182/(F67-0)&lt;0.005,"*",100*26182/(F67-0)),0)</f>
        <v>2.0372481354534244</v>
      </c>
    </row>
    <row r="21" spans="1:7" x14ac:dyDescent="0.2">
      <c r="A21" s="11" t="s">
        <v>122</v>
      </c>
      <c r="B21" s="17">
        <v>8508</v>
      </c>
      <c r="C21" s="17">
        <v>0</v>
      </c>
      <c r="D21" s="17">
        <v>8508</v>
      </c>
      <c r="E21" s="17">
        <v>8508</v>
      </c>
      <c r="F21" s="17">
        <v>8508</v>
      </c>
      <c r="G21" s="18">
        <f>IF(AND(F67&lt;&gt;0,8508&lt;&gt;0),IF(100*8508/(F67-0)&lt;0.005,"*",100*8508/(F67-0)),0)</f>
        <v>0.66201616134893182</v>
      </c>
    </row>
    <row r="22" spans="1:7" x14ac:dyDescent="0.2">
      <c r="A22" s="11" t="s">
        <v>123</v>
      </c>
      <c r="B22" s="17">
        <v>9812</v>
      </c>
      <c r="C22" s="17">
        <v>0</v>
      </c>
      <c r="D22" s="17">
        <v>9812</v>
      </c>
      <c r="E22" s="17">
        <v>9812</v>
      </c>
      <c r="F22" s="17">
        <v>9812</v>
      </c>
      <c r="G22" s="18">
        <f>IF(AND(F67&lt;&gt;0,9812&lt;&gt;0),IF(100*9812/(F67-0)&lt;0.005,"*",100*9812/(F67-0)),0)</f>
        <v>0.76348173191769153</v>
      </c>
    </row>
    <row r="23" spans="1:7" x14ac:dyDescent="0.2">
      <c r="A23" s="11" t="s">
        <v>124</v>
      </c>
      <c r="B23" s="17">
        <v>16702</v>
      </c>
      <c r="C23" s="17">
        <v>0</v>
      </c>
      <c r="D23" s="17">
        <v>16702</v>
      </c>
      <c r="E23" s="17">
        <v>16702</v>
      </c>
      <c r="F23" s="17">
        <v>16702</v>
      </c>
      <c r="G23" s="18">
        <f>IF(AND(F67&lt;&gt;0,16702&lt;&gt;0),IF(100*16702/(F67-0)&lt;0.005,"*",100*16702/(F67-0)),0)</f>
        <v>1.2995996623001715</v>
      </c>
    </row>
    <row r="24" spans="1:7" x14ac:dyDescent="0.2">
      <c r="A24" s="11" t="s">
        <v>125</v>
      </c>
      <c r="B24" s="17">
        <v>13865</v>
      </c>
      <c r="C24" s="17">
        <v>0</v>
      </c>
      <c r="D24" s="17">
        <v>13865</v>
      </c>
      <c r="E24" s="17">
        <v>13865</v>
      </c>
      <c r="F24" s="17">
        <v>13865</v>
      </c>
      <c r="G24" s="18">
        <f>IF(AND(F67&lt;&gt;0,13865&lt;&gt;0),IF(100*13865/(F67-0)&lt;0.005,"*",100*13865/(F67-0)),0)</f>
        <v>1.0788497974968194</v>
      </c>
    </row>
    <row r="25" spans="1:7" x14ac:dyDescent="0.2">
      <c r="A25" s="11" t="s">
        <v>126</v>
      </c>
      <c r="B25" s="17">
        <v>3019</v>
      </c>
      <c r="C25" s="17">
        <v>0</v>
      </c>
      <c r="D25" s="17">
        <v>3019</v>
      </c>
      <c r="E25" s="17">
        <v>3019</v>
      </c>
      <c r="F25" s="17">
        <v>3019</v>
      </c>
      <c r="G25" s="18">
        <f>IF(AND(F67&lt;&gt;0,3019&lt;&gt;0),IF(100*3019/(F67-0)&lt;0.005,"*",100*3019/(F67-0)),0)</f>
        <v>0.23491147051156855</v>
      </c>
    </row>
    <row r="26" spans="1:7" x14ac:dyDescent="0.2">
      <c r="A26" s="11" t="s">
        <v>127</v>
      </c>
      <c r="B26" s="17">
        <v>23301</v>
      </c>
      <c r="C26" s="17">
        <v>0</v>
      </c>
      <c r="D26" s="17">
        <v>23301</v>
      </c>
      <c r="E26" s="17">
        <v>23301</v>
      </c>
      <c r="F26" s="17">
        <v>23301</v>
      </c>
      <c r="G26" s="18">
        <f>IF(AND(F67&lt;&gt;0,23301&lt;&gt;0),IF(100*23301/(F67-0)&lt;0.005,"*",100*23301/(F67-0)),0)</f>
        <v>1.8130745857535804</v>
      </c>
    </row>
    <row r="27" spans="1:7" x14ac:dyDescent="0.2">
      <c r="A27" s="11" t="s">
        <v>128</v>
      </c>
      <c r="B27" s="17">
        <v>44973</v>
      </c>
      <c r="C27" s="17">
        <v>0</v>
      </c>
      <c r="D27" s="17">
        <v>44973</v>
      </c>
      <c r="E27" s="17">
        <v>44973</v>
      </c>
      <c r="F27" s="17">
        <v>44973</v>
      </c>
      <c r="G27" s="18">
        <f>IF(AND(F67&lt;&gt;0,44973&lt;&gt;0),IF(100*44973/(F67-0)&lt;0.005,"*",100*44973/(F67-0)),0)</f>
        <v>3.4993950193165859</v>
      </c>
    </row>
    <row r="28" spans="1:7" x14ac:dyDescent="0.2">
      <c r="A28" s="11" t="s">
        <v>129</v>
      </c>
      <c r="B28" s="17">
        <v>32082</v>
      </c>
      <c r="C28" s="17">
        <v>0</v>
      </c>
      <c r="D28" s="17">
        <v>32082</v>
      </c>
      <c r="E28" s="17">
        <v>32082</v>
      </c>
      <c r="F28" s="17">
        <v>32082</v>
      </c>
      <c r="G28" s="18">
        <f>IF(AND(F67&lt;&gt;0,32082&lt;&gt;0),IF(100*32082/(F67-0)&lt;0.005,"*",100*32082/(F67-0)),0)</f>
        <v>2.4963331556648369</v>
      </c>
    </row>
    <row r="29" spans="1:7" x14ac:dyDescent="0.2">
      <c r="A29" s="11" t="s">
        <v>130</v>
      </c>
      <c r="B29" s="17">
        <v>23368</v>
      </c>
      <c r="C29" s="17">
        <v>0</v>
      </c>
      <c r="D29" s="17">
        <v>23368</v>
      </c>
      <c r="E29" s="17">
        <v>23368</v>
      </c>
      <c r="F29" s="17">
        <v>23368</v>
      </c>
      <c r="G29" s="18">
        <f>IF(AND(F67&lt;&gt;0,23368&lt;&gt;0),IF(100*23368/(F67-0)&lt;0.005,"*",100*23368/(F67-0)),0)</f>
        <v>1.8182879241186929</v>
      </c>
    </row>
    <row r="30" spans="1:7" x14ac:dyDescent="0.2">
      <c r="A30" s="11" t="s">
        <v>131</v>
      </c>
      <c r="B30" s="17">
        <v>6293</v>
      </c>
      <c r="C30" s="17">
        <v>0</v>
      </c>
      <c r="D30" s="17">
        <v>6293</v>
      </c>
      <c r="E30" s="17">
        <v>6293</v>
      </c>
      <c r="F30" s="17">
        <v>6293</v>
      </c>
      <c r="G30" s="18">
        <f>IF(AND(F67&lt;&gt;0,6293&lt;&gt;0),IF(100*6293/(F67-0)&lt;0.005,"*",100*6293/(F67-0)),0)</f>
        <v>0.48966475121871511</v>
      </c>
    </row>
    <row r="31" spans="1:7" x14ac:dyDescent="0.2">
      <c r="A31" s="11" t="s">
        <v>132</v>
      </c>
      <c r="B31" s="17">
        <v>24669</v>
      </c>
      <c r="C31" s="17">
        <v>0</v>
      </c>
      <c r="D31" s="17">
        <v>24669</v>
      </c>
      <c r="E31" s="17">
        <v>24669</v>
      </c>
      <c r="F31" s="17">
        <v>24669</v>
      </c>
      <c r="G31" s="18">
        <f>IF(AND(F67&lt;&gt;0,24669&lt;&gt;0),IF(100*24669/(F67-0)&lt;0.005,"*",100*24669/(F67-0)),0)</f>
        <v>1.9195200616263282</v>
      </c>
    </row>
    <row r="32" spans="1:7" x14ac:dyDescent="0.2">
      <c r="A32" s="11" t="s">
        <v>133</v>
      </c>
      <c r="B32" s="17">
        <v>3191</v>
      </c>
      <c r="C32" s="17">
        <v>0</v>
      </c>
      <c r="D32" s="17">
        <v>3191</v>
      </c>
      <c r="E32" s="17">
        <v>3191</v>
      </c>
      <c r="F32" s="17">
        <v>3191</v>
      </c>
      <c r="G32" s="18">
        <f>IF(AND(F67&lt;&gt;0,3191&lt;&gt;0),IF(100*3191/(F67-0)&lt;0.005,"*",100*3191/(F67-0)),0)</f>
        <v>0.24829496601603684</v>
      </c>
    </row>
    <row r="33" spans="1:7" x14ac:dyDescent="0.2">
      <c r="A33" s="11" t="s">
        <v>134</v>
      </c>
      <c r="B33" s="17">
        <v>10595</v>
      </c>
      <c r="C33" s="17">
        <v>0</v>
      </c>
      <c r="D33" s="17">
        <v>10595</v>
      </c>
      <c r="E33" s="17">
        <v>10595</v>
      </c>
      <c r="F33" s="17">
        <v>10595</v>
      </c>
      <c r="G33" s="18">
        <f>IF(AND(F67&lt;&gt;0,10595&lt;&gt;0),IF(100*10595/(F67-0)&lt;0.005,"*",100*10595/(F67-0)),0)</f>
        <v>0.82440776087117218</v>
      </c>
    </row>
    <row r="34" spans="1:7" x14ac:dyDescent="0.2">
      <c r="A34" s="11" t="s">
        <v>135</v>
      </c>
      <c r="B34" s="17">
        <v>2580</v>
      </c>
      <c r="C34" s="17">
        <v>0</v>
      </c>
      <c r="D34" s="17">
        <v>2580</v>
      </c>
      <c r="E34" s="17">
        <v>2580</v>
      </c>
      <c r="F34" s="17">
        <v>2580</v>
      </c>
      <c r="G34" s="18">
        <f>IF(AND(F67&lt;&gt;0,2580&lt;&gt;0),IF(100*2580/(F67-0)&lt;0.005,"*",100*2580/(F67-0)),0)</f>
        <v>0.20075243256702446</v>
      </c>
    </row>
    <row r="35" spans="1:7" x14ac:dyDescent="0.2">
      <c r="A35" s="11" t="s">
        <v>136</v>
      </c>
      <c r="B35" s="17">
        <v>4582</v>
      </c>
      <c r="C35" s="17">
        <v>0</v>
      </c>
      <c r="D35" s="17">
        <v>4582</v>
      </c>
      <c r="E35" s="17">
        <v>4582</v>
      </c>
      <c r="F35" s="17">
        <v>4582</v>
      </c>
      <c r="G35" s="18">
        <f>IF(AND(F67&lt;&gt;0,4582&lt;&gt;0),IF(100*4582/(F67-0)&lt;0.005,"*",100*4582/(F67-0)),0)</f>
        <v>0.35653009535740549</v>
      </c>
    </row>
    <row r="36" spans="1:7" x14ac:dyDescent="0.2">
      <c r="A36" s="11" t="s">
        <v>137</v>
      </c>
      <c r="B36" s="17">
        <v>26374</v>
      </c>
      <c r="C36" s="17">
        <v>0</v>
      </c>
      <c r="D36" s="17">
        <v>26374</v>
      </c>
      <c r="E36" s="17">
        <v>26374</v>
      </c>
      <c r="F36" s="17">
        <v>26374</v>
      </c>
      <c r="G36" s="18">
        <f>IF(AND(F67&lt;&gt;0,26374&lt;&gt;0),IF(100*26374/(F67-0)&lt;0.005,"*",100*26374/(F67-0)),0)</f>
        <v>2.0521878513653888</v>
      </c>
    </row>
    <row r="37" spans="1:7" x14ac:dyDescent="0.2">
      <c r="A37" s="11" t="s">
        <v>138</v>
      </c>
      <c r="B37" s="17">
        <v>8308</v>
      </c>
      <c r="C37" s="17">
        <v>0</v>
      </c>
      <c r="D37" s="17">
        <v>8308</v>
      </c>
      <c r="E37" s="17">
        <v>8308</v>
      </c>
      <c r="F37" s="17">
        <v>8308</v>
      </c>
      <c r="G37" s="18">
        <f>IF(AND(F67&lt;&gt;0,8308&lt;&gt;0),IF(100*8308/(F67-0)&lt;0.005,"*",100*8308/(F67-0)),0)</f>
        <v>0.6464539572739687</v>
      </c>
    </row>
    <row r="38" spans="1:7" x14ac:dyDescent="0.2">
      <c r="A38" s="11" t="s">
        <v>139</v>
      </c>
      <c r="B38" s="17">
        <v>101983</v>
      </c>
      <c r="C38" s="17">
        <v>0</v>
      </c>
      <c r="D38" s="17">
        <v>101983</v>
      </c>
      <c r="E38" s="17">
        <v>101983</v>
      </c>
      <c r="F38" s="17">
        <v>101983</v>
      </c>
      <c r="G38" s="18">
        <f>IF(AND(F67&lt;&gt;0,101983&lt;&gt;0),IF(100*101983/(F67-0)&lt;0.005,"*",100*101983/(F67-0)),0)</f>
        <v>7.9354012908848279</v>
      </c>
    </row>
    <row r="39" spans="1:7" x14ac:dyDescent="0.2">
      <c r="A39" s="11" t="s">
        <v>140</v>
      </c>
      <c r="B39" s="17">
        <v>69639</v>
      </c>
      <c r="C39" s="17">
        <v>0</v>
      </c>
      <c r="D39" s="17">
        <v>69639</v>
      </c>
      <c r="E39" s="17">
        <v>69639</v>
      </c>
      <c r="F39" s="17">
        <v>69639</v>
      </c>
      <c r="G39" s="18">
        <f>IF(AND(F67&lt;&gt;0,69639&lt;&gt;0),IF(100*69639/(F67-0)&lt;0.005,"*",100*69639/(F67-0)),0)</f>
        <v>5.4186816478817894</v>
      </c>
    </row>
    <row r="40" spans="1:7" x14ac:dyDescent="0.2">
      <c r="A40" s="11" t="s">
        <v>141</v>
      </c>
      <c r="B40" s="17">
        <v>2506</v>
      </c>
      <c r="C40" s="17">
        <v>0</v>
      </c>
      <c r="D40" s="17">
        <v>2506</v>
      </c>
      <c r="E40" s="17">
        <v>2506</v>
      </c>
      <c r="F40" s="17">
        <v>2506</v>
      </c>
      <c r="G40" s="18">
        <f>IF(AND(F67&lt;&gt;0,2506&lt;&gt;0),IF(100*2506/(F67-0)&lt;0.005,"*",100*2506/(F67-0)),0)</f>
        <v>0.19499441705928811</v>
      </c>
    </row>
    <row r="41" spans="1:7" x14ac:dyDescent="0.2">
      <c r="A41" s="11" t="s">
        <v>142</v>
      </c>
      <c r="B41" s="17">
        <v>70124</v>
      </c>
      <c r="C41" s="17">
        <v>0</v>
      </c>
      <c r="D41" s="17">
        <v>70124</v>
      </c>
      <c r="E41" s="17">
        <v>70124</v>
      </c>
      <c r="F41" s="17">
        <v>70124</v>
      </c>
      <c r="G41" s="18">
        <f>IF(AND(F67&lt;&gt;0,70124&lt;&gt;0),IF(100*70124/(F67-0)&lt;0.005,"*",100*70124/(F67-0)),0)</f>
        <v>5.4564199927635748</v>
      </c>
    </row>
    <row r="42" spans="1:7" x14ac:dyDescent="0.2">
      <c r="A42" s="11" t="s">
        <v>143</v>
      </c>
      <c r="B42" s="17">
        <v>24910</v>
      </c>
      <c r="C42" s="17">
        <v>0</v>
      </c>
      <c r="D42" s="17">
        <v>24910</v>
      </c>
      <c r="E42" s="17">
        <v>24910</v>
      </c>
      <c r="F42" s="17">
        <v>24910</v>
      </c>
      <c r="G42" s="18">
        <f>IF(AND(F67&lt;&gt;0,24910&lt;&gt;0),IF(100*24910/(F67-0)&lt;0.005,"*",100*24910/(F67-0)),0)</f>
        <v>1.9382725175366586</v>
      </c>
    </row>
    <row r="43" spans="1:7" x14ac:dyDescent="0.2">
      <c r="A43" s="11" t="s">
        <v>144</v>
      </c>
      <c r="B43" s="17">
        <v>19409</v>
      </c>
      <c r="C43" s="17">
        <v>0</v>
      </c>
      <c r="D43" s="17">
        <v>19409</v>
      </c>
      <c r="E43" s="17">
        <v>19409</v>
      </c>
      <c r="F43" s="17">
        <v>19409</v>
      </c>
      <c r="G43" s="18">
        <f>IF(AND(F67&lt;&gt;0,19409&lt;&gt;0),IF(100*19409/(F67-0)&lt;0.005,"*",100*19409/(F67-0)),0)</f>
        <v>1.5102340944547976</v>
      </c>
    </row>
    <row r="44" spans="1:7" x14ac:dyDescent="0.2">
      <c r="A44" s="11" t="s">
        <v>145</v>
      </c>
      <c r="B44" s="17">
        <v>55337</v>
      </c>
      <c r="C44" s="17">
        <v>0</v>
      </c>
      <c r="D44" s="17">
        <v>55337</v>
      </c>
      <c r="E44" s="17">
        <v>55337</v>
      </c>
      <c r="F44" s="17">
        <v>55337</v>
      </c>
      <c r="G44" s="18">
        <f>IF(AND(F67&lt;&gt;0,55337&lt;&gt;0),IF(100*55337/(F67-0)&lt;0.005,"*",100*55337/(F67-0)),0)</f>
        <v>4.3058284344811755</v>
      </c>
    </row>
    <row r="45" spans="1:7" x14ac:dyDescent="0.2">
      <c r="A45" s="11" t="s">
        <v>146</v>
      </c>
      <c r="B45" s="17">
        <v>6634</v>
      </c>
      <c r="C45" s="17">
        <v>0</v>
      </c>
      <c r="D45" s="17">
        <v>6634</v>
      </c>
      <c r="E45" s="17">
        <v>6634</v>
      </c>
      <c r="F45" s="17">
        <v>6634</v>
      </c>
      <c r="G45" s="18">
        <f>IF(AND(F67&lt;&gt;0,6634&lt;&gt;0),IF(100*6634/(F67-0)&lt;0.005,"*",100*6634/(F67-0)),0)</f>
        <v>0.5161983091665272</v>
      </c>
    </row>
    <row r="46" spans="1:7" x14ac:dyDescent="0.2">
      <c r="A46" s="11" t="s">
        <v>147</v>
      </c>
      <c r="B46" s="17">
        <v>9867</v>
      </c>
      <c r="C46" s="17">
        <v>0</v>
      </c>
      <c r="D46" s="17">
        <v>9867</v>
      </c>
      <c r="E46" s="17">
        <v>9867</v>
      </c>
      <c r="F46" s="17">
        <v>9867</v>
      </c>
      <c r="G46" s="18">
        <f>IF(AND(F67&lt;&gt;0,9867&lt;&gt;0),IF(100*9867/(F67-0)&lt;0.005,"*",100*9867/(F67-0)),0)</f>
        <v>0.76776133803830637</v>
      </c>
    </row>
    <row r="47" spans="1:7" x14ac:dyDescent="0.2">
      <c r="A47" s="11" t="s">
        <v>148</v>
      </c>
      <c r="B47" s="17">
        <v>1711</v>
      </c>
      <c r="C47" s="17">
        <v>0</v>
      </c>
      <c r="D47" s="17">
        <v>1711</v>
      </c>
      <c r="E47" s="17">
        <v>1711</v>
      </c>
      <c r="F47" s="17">
        <v>1711</v>
      </c>
      <c r="G47" s="18">
        <f>IF(AND(F67&lt;&gt;0,1711&lt;&gt;0),IF(100*1711/(F67-0)&lt;0.005,"*",100*1711/(F67-0)),0)</f>
        <v>0.13313465586130963</v>
      </c>
    </row>
    <row r="48" spans="1:7" x14ac:dyDescent="0.2">
      <c r="A48" s="11" t="s">
        <v>149</v>
      </c>
      <c r="B48" s="17">
        <v>37702</v>
      </c>
      <c r="C48" s="17">
        <v>0</v>
      </c>
      <c r="D48" s="17">
        <v>37702</v>
      </c>
      <c r="E48" s="17">
        <v>37702</v>
      </c>
      <c r="F48" s="17">
        <v>37702</v>
      </c>
      <c r="G48" s="18">
        <f>IF(AND(F67&lt;&gt;0,37702&lt;&gt;0),IF(100*37702/(F67-0)&lt;0.005,"*",100*37702/(F67-0)),0)</f>
        <v>2.9336310901713007</v>
      </c>
    </row>
    <row r="49" spans="1:7" x14ac:dyDescent="0.2">
      <c r="A49" s="11" t="s">
        <v>150</v>
      </c>
      <c r="B49" s="17">
        <v>59844</v>
      </c>
      <c r="C49" s="17">
        <v>0</v>
      </c>
      <c r="D49" s="17">
        <v>59844</v>
      </c>
      <c r="E49" s="17">
        <v>59844</v>
      </c>
      <c r="F49" s="17">
        <v>59844</v>
      </c>
      <c r="G49" s="18">
        <f>IF(AND(F67&lt;&gt;0,59844&lt;&gt;0),IF(100*59844/(F67-0)&lt;0.005,"*",100*59844/(F67-0)),0)</f>
        <v>4.6565227033104701</v>
      </c>
    </row>
    <row r="50" spans="1:7" x14ac:dyDescent="0.2">
      <c r="A50" s="11" t="s">
        <v>151</v>
      </c>
      <c r="B50" s="17">
        <v>12592</v>
      </c>
      <c r="C50" s="17">
        <v>0</v>
      </c>
      <c r="D50" s="17">
        <v>12592</v>
      </c>
      <c r="E50" s="17">
        <v>12592</v>
      </c>
      <c r="F50" s="17">
        <v>12592</v>
      </c>
      <c r="G50" s="18">
        <f>IF(AND(F67&lt;&gt;0,12592&lt;&gt;0),IF(100*12592/(F67-0)&lt;0.005,"*",100*12592/(F67-0)),0)</f>
        <v>0.97979636855967911</v>
      </c>
    </row>
    <row r="51" spans="1:7" x14ac:dyDescent="0.2">
      <c r="A51" s="11" t="s">
        <v>152</v>
      </c>
      <c r="B51" s="17">
        <v>3945</v>
      </c>
      <c r="C51" s="17">
        <v>0</v>
      </c>
      <c r="D51" s="17">
        <v>3945</v>
      </c>
      <c r="E51" s="17">
        <v>3945</v>
      </c>
      <c r="F51" s="17">
        <v>3945</v>
      </c>
      <c r="G51" s="18">
        <f>IF(AND(F67&lt;&gt;0,3945&lt;&gt;0),IF(100*3945/(F67-0)&lt;0.005,"*",100*3945/(F67-0)),0)</f>
        <v>0.30696447537864791</v>
      </c>
    </row>
    <row r="52" spans="1:7" x14ac:dyDescent="0.2">
      <c r="A52" s="11" t="s">
        <v>153</v>
      </c>
      <c r="B52" s="17">
        <v>21329</v>
      </c>
      <c r="C52" s="17">
        <v>0</v>
      </c>
      <c r="D52" s="17">
        <v>21329</v>
      </c>
      <c r="E52" s="17">
        <v>21329</v>
      </c>
      <c r="F52" s="17">
        <v>21329</v>
      </c>
      <c r="G52" s="18">
        <f>IF(AND(F67&lt;&gt;0,21329&lt;&gt;0),IF(100*21329/(F67-0)&lt;0.005,"*",100*21329/(F67-0)),0)</f>
        <v>1.6596312535744437</v>
      </c>
    </row>
    <row r="53" spans="1:7" x14ac:dyDescent="0.2">
      <c r="A53" s="11" t="s">
        <v>154</v>
      </c>
      <c r="B53" s="17">
        <v>41883</v>
      </c>
      <c r="C53" s="17">
        <v>0</v>
      </c>
      <c r="D53" s="17">
        <v>41883</v>
      </c>
      <c r="E53" s="17">
        <v>41883</v>
      </c>
      <c r="F53" s="17">
        <v>41883</v>
      </c>
      <c r="G53" s="18">
        <f>IF(AND(F67&lt;&gt;0,41883&lt;&gt;0),IF(100*41883/(F67-0)&lt;0.005,"*",100*41883/(F67-0)),0)</f>
        <v>3.2589589663584055</v>
      </c>
    </row>
    <row r="54" spans="1:7" x14ac:dyDescent="0.2">
      <c r="A54" s="11" t="s">
        <v>155</v>
      </c>
      <c r="B54" s="17">
        <v>8727</v>
      </c>
      <c r="C54" s="17">
        <v>0</v>
      </c>
      <c r="D54" s="17">
        <v>8727</v>
      </c>
      <c r="E54" s="17">
        <v>8727</v>
      </c>
      <c r="F54" s="17">
        <v>8727</v>
      </c>
      <c r="G54" s="18">
        <f>IF(AND(F67&lt;&gt;0,8727&lt;&gt;0),IF(100*8727/(F67-0)&lt;0.005,"*",100*8727/(F67-0)),0)</f>
        <v>0.67905677481101645</v>
      </c>
    </row>
    <row r="55" spans="1:7" x14ac:dyDescent="0.2">
      <c r="A55" s="11" t="s">
        <v>156</v>
      </c>
      <c r="B55" s="17">
        <v>24511</v>
      </c>
      <c r="C55" s="17">
        <v>0</v>
      </c>
      <c r="D55" s="17">
        <v>24511</v>
      </c>
      <c r="E55" s="17">
        <v>24511</v>
      </c>
      <c r="F55" s="17">
        <v>24511</v>
      </c>
      <c r="G55" s="18">
        <f>IF(AND(F67&lt;&gt;0,24511&lt;&gt;0),IF(100*24511/(F67-0)&lt;0.005,"*",100*24511/(F67-0)),0)</f>
        <v>1.9072259204071074</v>
      </c>
    </row>
    <row r="56" spans="1:7" x14ac:dyDescent="0.2">
      <c r="A56" s="11" t="s">
        <v>157</v>
      </c>
      <c r="B56" s="17">
        <v>2815</v>
      </c>
      <c r="C56" s="17">
        <v>0</v>
      </c>
      <c r="D56" s="17">
        <v>2815</v>
      </c>
      <c r="E56" s="17">
        <v>2815</v>
      </c>
      <c r="F56" s="17">
        <v>2815</v>
      </c>
      <c r="G56" s="18">
        <f>IF(AND(F67&lt;&gt;0,2815&lt;&gt;0),IF(100*2815/(F67-0)&lt;0.005,"*",100*2815/(F67-0)),0)</f>
        <v>0.21903802235510617</v>
      </c>
    </row>
    <row r="57" spans="1:7" x14ac:dyDescent="0.2">
      <c r="A57" s="11" t="s">
        <v>158</v>
      </c>
      <c r="B57" s="17">
        <v>0</v>
      </c>
      <c r="C57" s="17">
        <v>0</v>
      </c>
      <c r="D57" s="17">
        <v>0</v>
      </c>
      <c r="E57" s="17">
        <v>0</v>
      </c>
      <c r="F57" s="17">
        <v>0</v>
      </c>
      <c r="G57" s="18">
        <f>IF(AND(F67&lt;&gt;0,0&lt;&gt;0),IF(100*0/(F67-0)&lt;0.005,"*",100*0/(F67-0)),0)</f>
        <v>0</v>
      </c>
    </row>
    <row r="58" spans="1:7" x14ac:dyDescent="0.2">
      <c r="A58" s="11" t="s">
        <v>159</v>
      </c>
      <c r="B58" s="17">
        <v>0</v>
      </c>
      <c r="C58" s="17">
        <v>0</v>
      </c>
      <c r="D58" s="17">
        <v>0</v>
      </c>
      <c r="E58" s="17">
        <v>0</v>
      </c>
      <c r="F58" s="17">
        <v>0</v>
      </c>
      <c r="G58" s="18">
        <f>IF(AND(F67&lt;&gt;0,0&lt;&gt;0),IF(100*0/(F67-0)&lt;0.005,"*",100*0/(F67-0)),0)</f>
        <v>0</v>
      </c>
    </row>
    <row r="59" spans="1:7" x14ac:dyDescent="0.2">
      <c r="A59" s="11" t="s">
        <v>160</v>
      </c>
      <c r="B59" s="17">
        <v>0</v>
      </c>
      <c r="C59" s="17">
        <v>0</v>
      </c>
      <c r="D59" s="17">
        <v>0</v>
      </c>
      <c r="E59" s="17">
        <v>0</v>
      </c>
      <c r="F59" s="17">
        <v>0</v>
      </c>
      <c r="G59" s="18">
        <f>IF(AND(F67&lt;&gt;0,0&lt;&gt;0),IF(100*0/(F67-0)&lt;0.005,"*",100*0/(F67-0)),0)</f>
        <v>0</v>
      </c>
    </row>
    <row r="60" spans="1:7" x14ac:dyDescent="0.2">
      <c r="A60" s="11" t="s">
        <v>161</v>
      </c>
      <c r="B60" s="17">
        <v>0</v>
      </c>
      <c r="C60" s="17">
        <v>0</v>
      </c>
      <c r="D60" s="17">
        <v>0</v>
      </c>
      <c r="E60" s="17">
        <v>0</v>
      </c>
      <c r="F60" s="17">
        <v>0</v>
      </c>
      <c r="G60" s="18">
        <f>IF(AND(F67&lt;&gt;0,0&lt;&gt;0),IF(100*0/(F67-0)&lt;0.005,"*",100*0/(F67-0)),0)</f>
        <v>0</v>
      </c>
    </row>
    <row r="61" spans="1:7" x14ac:dyDescent="0.2">
      <c r="A61" s="11" t="s">
        <v>162</v>
      </c>
      <c r="B61" s="17">
        <v>0</v>
      </c>
      <c r="C61" s="17">
        <v>0</v>
      </c>
      <c r="D61" s="17">
        <v>0</v>
      </c>
      <c r="E61" s="17">
        <v>0</v>
      </c>
      <c r="F61" s="17">
        <v>0</v>
      </c>
      <c r="G61" s="18">
        <f>IF(AND(F67&lt;&gt;0,0&lt;&gt;0),IF(100*0/(F67-0)&lt;0.005,"*",100*0/(F67-0)),0)</f>
        <v>0</v>
      </c>
    </row>
    <row r="62" spans="1:7" x14ac:dyDescent="0.2">
      <c r="A62" s="11" t="s">
        <v>163</v>
      </c>
      <c r="B62" s="17">
        <v>0</v>
      </c>
      <c r="C62" s="17">
        <v>0</v>
      </c>
      <c r="D62" s="17">
        <v>0</v>
      </c>
      <c r="E62" s="17">
        <v>0</v>
      </c>
      <c r="F62" s="17">
        <v>0</v>
      </c>
      <c r="G62" s="18">
        <f>IF(AND(F67&lt;&gt;0,0&lt;&gt;0),IF(100*0/(F67-0)&lt;0.005,"*",100*0/(F67-0)),0)</f>
        <v>0</v>
      </c>
    </row>
    <row r="63" spans="1:7" x14ac:dyDescent="0.2">
      <c r="A63" s="11" t="s">
        <v>164</v>
      </c>
      <c r="B63" s="17">
        <v>58340</v>
      </c>
      <c r="C63" s="17">
        <v>0</v>
      </c>
      <c r="D63" s="17">
        <v>58340</v>
      </c>
      <c r="E63" s="17">
        <v>58340</v>
      </c>
      <c r="F63" s="17">
        <v>71760</v>
      </c>
      <c r="G63" s="18">
        <f>IF(AND(F67&lt;&gt;0,71760&lt;&gt;0),IF(100*71760/(F67-0)&lt;0.005,"*",100*71760/(F67-0)),0)</f>
        <v>5.5837188220967739</v>
      </c>
    </row>
    <row r="64" spans="1:7" x14ac:dyDescent="0.2">
      <c r="A64" s="11" t="s">
        <v>165</v>
      </c>
      <c r="B64" s="17">
        <v>0</v>
      </c>
      <c r="C64" s="17">
        <v>0</v>
      </c>
      <c r="D64" s="17">
        <v>0</v>
      </c>
      <c r="E64" s="17">
        <v>0</v>
      </c>
      <c r="F64" s="17">
        <v>0</v>
      </c>
      <c r="G64" s="18">
        <v>0</v>
      </c>
    </row>
    <row r="65" spans="1:7" x14ac:dyDescent="0.2">
      <c r="A65" s="11" t="s">
        <v>206</v>
      </c>
      <c r="B65" s="17">
        <v>14585</v>
      </c>
      <c r="C65" s="17">
        <v>0</v>
      </c>
      <c r="D65" s="17">
        <v>14585</v>
      </c>
      <c r="E65" s="17">
        <v>14585</v>
      </c>
      <c r="F65" s="17">
        <v>17940</v>
      </c>
      <c r="G65" s="18">
        <f>IF(AND(F67&lt;&gt;0,17940&lt;&gt;0),IF(100*17940/(F67-0)&lt;0.005,"*",100*17940/(F67-0)),0)</f>
        <v>1.3959297055241935</v>
      </c>
    </row>
    <row r="66" spans="1:7" x14ac:dyDescent="0.2">
      <c r="A66" s="11" t="s">
        <v>184</v>
      </c>
      <c r="B66" s="17">
        <v>4000</v>
      </c>
      <c r="C66" s="17">
        <v>0</v>
      </c>
      <c r="D66" s="17">
        <v>4000</v>
      </c>
      <c r="E66" s="17">
        <v>4000</v>
      </c>
      <c r="F66" s="17">
        <v>17940</v>
      </c>
      <c r="G66" s="18">
        <f>IF(AND(F67&lt;&gt;0,17940&lt;&gt;0),IF(100*17940/(F67-0)&lt;0.005,"*",100*17940/(F67-0)),0)</f>
        <v>1.3959297055241935</v>
      </c>
    </row>
    <row r="67" spans="1:7" ht="15" customHeight="1" x14ac:dyDescent="0.2">
      <c r="A67" s="19" t="s">
        <v>106</v>
      </c>
      <c r="B67" s="20">
        <f>16442+3545+19827+5300+85592+10174+18738+5179+4567+43027+36548+4972+2868+56874+26182+8508+9812+16702+13865+3019+23301+44973+32082+23368+6293+24669+3191+10595+2580+4582+26374+8308+101983+69639+2506+70124+24910+19409+55337+6634+9867+1711+37702+59844+12592+3945+21329+41883+8727+24511+2815+0+0+0+0+0+0+58340+0+14585+4000+0</f>
        <v>1254450</v>
      </c>
      <c r="C67" s="20">
        <f>0+0+0+0+0+0+0+0+0+0+0+0+0+0+0+0+0+0+0+0+0+0+0+0+0+0+0+0+0+0+0+0+0+0+0+0+0+0+0+0+0+0+0+0+0+0+0+0+0+0+0+0+0+0+0+0+0+0+0+0+0+0</f>
        <v>0</v>
      </c>
      <c r="D67" s="20">
        <f>16442+3545+19827+5300+85592+10174+18738+5179+4567+43027+36548+4972+2868+56874+26182+8508+9812+16702+13865+3019+23301+44973+32082+23368+6293+24669+3191+10595+2580+4582+26374+8308+101983+69639+2506+70124+24910+19409+55337+6634+9867+1711+37702+59844+12592+3945+21329+41883+8727+24511+2815+0+0+0+0+0+0+58340+0+14585+4000+0</f>
        <v>1254450</v>
      </c>
      <c r="E67" s="20">
        <f>SUM(C67:D67)</f>
        <v>1254450</v>
      </c>
      <c r="F67" s="20">
        <f>16442+3545+19827+5300+85592+10174+18738+5179+4567+43027+36548+4972+2868+56874+26182+8508+9812+16702+13865+3019+23301+44973+32082+23368+6293+24669+3191+10595+2580+4582+26374+8308+101983+69639+2506+70124+24910+19409+55337+6634+9867+1711+37702+59844+12592+3945+21329+41883+8727+24511+2815+0+0+0+0+0+0+71760+0+17940+17940+0</f>
        <v>1285165</v>
      </c>
      <c r="G67" s="21" t="s">
        <v>166</v>
      </c>
    </row>
    <row r="68" spans="1:7" ht="15" customHeight="1" x14ac:dyDescent="0.2">
      <c r="A68" s="65" t="s">
        <v>168</v>
      </c>
      <c r="B68" s="65"/>
      <c r="C68" s="65"/>
      <c r="D68" s="65"/>
      <c r="E68" s="65"/>
      <c r="F68" s="65"/>
      <c r="G68" s="65"/>
    </row>
  </sheetData>
  <mergeCells count="5">
    <mergeCell ref="A68:G68"/>
    <mergeCell ref="A4:A5"/>
    <mergeCell ref="B4:B5"/>
    <mergeCell ref="F4:F5"/>
    <mergeCell ref="G4:G5"/>
  </mergeCells>
  <pageMargins left="0.7" right="0.7" top="0.75" bottom="0.75" header="0.3" footer="0.3"/>
  <pageSetup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210</v>
      </c>
    </row>
    <row r="2" spans="1:7" x14ac:dyDescent="0.2">
      <c r="A2" s="13" t="s">
        <v>212</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25150</v>
      </c>
      <c r="C6" s="17">
        <v>0</v>
      </c>
      <c r="D6" s="17">
        <v>24674</v>
      </c>
      <c r="E6" s="17">
        <v>24674</v>
      </c>
      <c r="F6" s="17">
        <v>34279</v>
      </c>
      <c r="G6" s="18">
        <f>IF(AND(F65&lt;&gt;0,34279&lt;&gt;0),IF(100*34279/(F65-0)&lt;0.005,"*",100*34279/(F65-0)),0)</f>
        <v>1.488556496666066</v>
      </c>
    </row>
    <row r="7" spans="1:7" x14ac:dyDescent="0.2">
      <c r="A7" s="11" t="s">
        <v>108</v>
      </c>
      <c r="B7" s="17">
        <v>4398</v>
      </c>
      <c r="C7" s="17">
        <v>0</v>
      </c>
      <c r="D7" s="17">
        <v>4316</v>
      </c>
      <c r="E7" s="17">
        <v>4316</v>
      </c>
      <c r="F7" s="17">
        <v>5995</v>
      </c>
      <c r="G7" s="18">
        <f>IF(AND(F65&lt;&gt;0,5995&lt;&gt;0),IF(100*5995/(F65-0)&lt;0.005,"*",100*5995/(F65-0)),0)</f>
        <v>0.26033128730456156</v>
      </c>
    </row>
    <row r="8" spans="1:7" x14ac:dyDescent="0.2">
      <c r="A8" s="11" t="s">
        <v>109</v>
      </c>
      <c r="B8" s="17">
        <v>37402</v>
      </c>
      <c r="C8" s="17">
        <v>0</v>
      </c>
      <c r="D8" s="17">
        <v>36697</v>
      </c>
      <c r="E8" s="17">
        <v>36697</v>
      </c>
      <c r="F8" s="17">
        <v>50979</v>
      </c>
      <c r="G8" s="18">
        <f>IF(AND(F65&lt;&gt;0,50979&lt;&gt;0),IF(100*50979/(F65-0)&lt;0.005,"*",100*50979/(F65-0)),0)</f>
        <v>2.2137495738947863</v>
      </c>
    </row>
    <row r="9" spans="1:7" x14ac:dyDescent="0.2">
      <c r="A9" s="11" t="s">
        <v>110</v>
      </c>
      <c r="B9" s="17">
        <v>16279</v>
      </c>
      <c r="C9" s="17">
        <v>0</v>
      </c>
      <c r="D9" s="17">
        <v>15971</v>
      </c>
      <c r="E9" s="17">
        <v>15971</v>
      </c>
      <c r="F9" s="17">
        <v>22188</v>
      </c>
      <c r="G9" s="18">
        <f>IF(AND(F65&lt;&gt;0,22188&lt;&gt;0),IF(100*22188/(F65-0)&lt;0.005,"*",100*22188/(F65-0)),0)</f>
        <v>0.96350802380543976</v>
      </c>
    </row>
    <row r="10" spans="1:7" x14ac:dyDescent="0.2">
      <c r="A10" s="11" t="s">
        <v>111</v>
      </c>
      <c r="B10" s="17">
        <v>210942</v>
      </c>
      <c r="C10" s="17">
        <v>0</v>
      </c>
      <c r="D10" s="17">
        <v>206959</v>
      </c>
      <c r="E10" s="17">
        <v>206959</v>
      </c>
      <c r="F10" s="17">
        <v>287516</v>
      </c>
      <c r="G10" s="18">
        <f>IF(AND(F65&lt;&gt;0,287516&lt;&gt;0),IF(100*287516/(F65-0)&lt;0.005,"*",100*287516/(F65-0)),0)</f>
        <v>12.485306155239085</v>
      </c>
    </row>
    <row r="11" spans="1:7" x14ac:dyDescent="0.2">
      <c r="A11" s="11" t="s">
        <v>112</v>
      </c>
      <c r="B11" s="17">
        <v>29161</v>
      </c>
      <c r="C11" s="17">
        <v>0</v>
      </c>
      <c r="D11" s="17">
        <v>28614</v>
      </c>
      <c r="E11" s="17">
        <v>28614</v>
      </c>
      <c r="F11" s="17">
        <v>39747</v>
      </c>
      <c r="G11" s="18">
        <f>IF(AND(F65&lt;&gt;0,39747&lt;&gt;0),IF(100*39747/(F65-0)&lt;0.005,"*",100*39747/(F65-0)),0)</f>
        <v>1.7260029485395176</v>
      </c>
    </row>
    <row r="12" spans="1:7" x14ac:dyDescent="0.2">
      <c r="A12" s="11" t="s">
        <v>113</v>
      </c>
      <c r="B12" s="17">
        <v>16618</v>
      </c>
      <c r="C12" s="17">
        <v>0</v>
      </c>
      <c r="D12" s="17">
        <v>16618</v>
      </c>
      <c r="E12" s="17">
        <v>16618</v>
      </c>
      <c r="F12" s="17">
        <v>22651</v>
      </c>
      <c r="G12" s="18">
        <f>IF(AND(F65&lt;&gt;0,22651&lt;&gt;0),IF(100*22651/(F65-0)&lt;0.005,"*",100*22651/(F65-0)),0)</f>
        <v>0.98361367618609241</v>
      </c>
    </row>
    <row r="13" spans="1:7" x14ac:dyDescent="0.2">
      <c r="A13" s="11" t="s">
        <v>114</v>
      </c>
      <c r="B13" s="17">
        <v>4714</v>
      </c>
      <c r="C13" s="17">
        <v>0</v>
      </c>
      <c r="D13" s="17">
        <v>4625</v>
      </c>
      <c r="E13" s="17">
        <v>4625</v>
      </c>
      <c r="F13" s="17">
        <v>6425</v>
      </c>
      <c r="G13" s="18">
        <f>IF(AND(F65&lt;&gt;0,6425&lt;&gt;0),IF(100*6425/(F65-0)&lt;0.005,"*",100*6425/(F65-0)),0)</f>
        <v>0.279003923424822</v>
      </c>
    </row>
    <row r="14" spans="1:7" x14ac:dyDescent="0.2">
      <c r="A14" s="11" t="s">
        <v>115</v>
      </c>
      <c r="B14" s="17">
        <v>2966</v>
      </c>
      <c r="C14" s="17">
        <v>0</v>
      </c>
      <c r="D14" s="17">
        <v>2912</v>
      </c>
      <c r="E14" s="17">
        <v>2912</v>
      </c>
      <c r="F14" s="17">
        <v>4042</v>
      </c>
      <c r="G14" s="18">
        <f>IF(AND(F65&lt;&gt;0,4042&lt;&gt;0),IF(100*4042/(F65-0)&lt;0.005,"*",100*4042/(F65-0)),0)</f>
        <v>0.17552277953044834</v>
      </c>
    </row>
    <row r="15" spans="1:7" x14ac:dyDescent="0.2">
      <c r="A15" s="11" t="s">
        <v>116</v>
      </c>
      <c r="B15" s="17">
        <v>93742</v>
      </c>
      <c r="C15" s="17">
        <v>0</v>
      </c>
      <c r="D15" s="17">
        <v>91998</v>
      </c>
      <c r="E15" s="17">
        <v>91998</v>
      </c>
      <c r="F15" s="17">
        <v>127771</v>
      </c>
      <c r="G15" s="18">
        <f>IF(AND(F65&lt;&gt;0,127771&lt;&gt;0),IF(100*127771/(F65-0)&lt;0.005,"*",100*127771/(F65-0)),0)</f>
        <v>5.5484218365623246</v>
      </c>
    </row>
    <row r="16" spans="1:7" x14ac:dyDescent="0.2">
      <c r="A16" s="11" t="s">
        <v>117</v>
      </c>
      <c r="B16" s="17">
        <v>57529</v>
      </c>
      <c r="C16" s="17">
        <v>0</v>
      </c>
      <c r="D16" s="17">
        <v>56445</v>
      </c>
      <c r="E16" s="17">
        <v>56445</v>
      </c>
      <c r="F16" s="17">
        <v>78412</v>
      </c>
      <c r="G16" s="18">
        <f>IF(AND(F65&lt;&gt;0,78412&lt;&gt;0),IF(100*78412/(F65-0)&lt;0.005,"*",100*78412/(F65-0)),0)</f>
        <v>3.4050203336322404</v>
      </c>
    </row>
    <row r="17" spans="1:7" x14ac:dyDescent="0.2">
      <c r="A17" s="11" t="s">
        <v>118</v>
      </c>
      <c r="B17" s="17">
        <v>7395</v>
      </c>
      <c r="C17" s="17">
        <v>0</v>
      </c>
      <c r="D17" s="17">
        <v>7257</v>
      </c>
      <c r="E17" s="17">
        <v>7257</v>
      </c>
      <c r="F17" s="17">
        <v>10080</v>
      </c>
      <c r="G17" s="18">
        <f>IF(AND(F65&lt;&gt;0,10080&lt;&gt;0),IF(100*10080/(F65-0)&lt;0.005,"*",100*10080/(F65-0)),0)</f>
        <v>0.43772133044703593</v>
      </c>
    </row>
    <row r="18" spans="1:7" x14ac:dyDescent="0.2">
      <c r="A18" s="11" t="s">
        <v>119</v>
      </c>
      <c r="B18" s="17">
        <v>9800</v>
      </c>
      <c r="C18" s="17">
        <v>0</v>
      </c>
      <c r="D18" s="17">
        <v>9800</v>
      </c>
      <c r="E18" s="17">
        <v>9800</v>
      </c>
      <c r="F18" s="17">
        <v>13358</v>
      </c>
      <c r="G18" s="18">
        <f>IF(AND(F65&lt;&gt;0,13358&lt;&gt;0),IF(100*13358/(F65-0)&lt;0.005,"*",100*13358/(F65-0)),0)</f>
        <v>0.58006761231264936</v>
      </c>
    </row>
    <row r="19" spans="1:7" x14ac:dyDescent="0.2">
      <c r="A19" s="11" t="s">
        <v>120</v>
      </c>
      <c r="B19" s="17">
        <v>67616</v>
      </c>
      <c r="C19" s="17">
        <v>0</v>
      </c>
      <c r="D19" s="17">
        <v>66329</v>
      </c>
      <c r="E19" s="17">
        <v>66329</v>
      </c>
      <c r="F19" s="17">
        <v>92162</v>
      </c>
      <c r="G19" s="18">
        <f>IF(AND(F65&lt;&gt;0,92162&lt;&gt;0),IF(100*92162/(F65-0)&lt;0.005,"*",100*92162/(F65-0)),0)</f>
        <v>4.0021104421289406</v>
      </c>
    </row>
    <row r="20" spans="1:7" x14ac:dyDescent="0.2">
      <c r="A20" s="11" t="s">
        <v>121</v>
      </c>
      <c r="B20" s="17">
        <v>36130</v>
      </c>
      <c r="C20" s="17">
        <v>0</v>
      </c>
      <c r="D20" s="17">
        <v>35448</v>
      </c>
      <c r="E20" s="17">
        <v>35448</v>
      </c>
      <c r="F20" s="17">
        <v>49246</v>
      </c>
      <c r="G20" s="18">
        <f>IF(AND(F65&lt;&gt;0,49246&lt;&gt;0),IF(100*49246/(F65-0)&lt;0.005,"*",100*49246/(F65-0)),0)</f>
        <v>2.1384945078566204</v>
      </c>
    </row>
    <row r="21" spans="1:7" x14ac:dyDescent="0.2">
      <c r="A21" s="11" t="s">
        <v>122</v>
      </c>
      <c r="B21" s="17">
        <v>16847</v>
      </c>
      <c r="C21" s="17">
        <v>0</v>
      </c>
      <c r="D21" s="17">
        <v>16531</v>
      </c>
      <c r="E21" s="17">
        <v>16531</v>
      </c>
      <c r="F21" s="17">
        <v>22963</v>
      </c>
      <c r="G21" s="18">
        <f>IF(AND(F65&lt;&gt;0,22963&lt;&gt;0),IF(100*22963/(F65-0)&lt;0.005,"*",100*22963/(F65-0)),0)</f>
        <v>0.99716219355707203</v>
      </c>
    </row>
    <row r="22" spans="1:7" x14ac:dyDescent="0.2">
      <c r="A22" s="11" t="s">
        <v>123</v>
      </c>
      <c r="B22" s="17">
        <v>16404</v>
      </c>
      <c r="C22" s="17">
        <v>0</v>
      </c>
      <c r="D22" s="17">
        <v>16404</v>
      </c>
      <c r="E22" s="17">
        <v>16404</v>
      </c>
      <c r="F22" s="17">
        <v>22359</v>
      </c>
      <c r="G22" s="18">
        <f>IF(AND(F65&lt;&gt;0,22359&lt;&gt;0),IF(100*22359/(F65-0)&lt;0.005,"*",100*22359/(F65-0)),0)</f>
        <v>0.97093365351838057</v>
      </c>
    </row>
    <row r="23" spans="1:7" x14ac:dyDescent="0.2">
      <c r="A23" s="11" t="s">
        <v>124</v>
      </c>
      <c r="B23" s="17">
        <v>23330</v>
      </c>
      <c r="C23" s="17">
        <v>0</v>
      </c>
      <c r="D23" s="17">
        <v>22890</v>
      </c>
      <c r="E23" s="17">
        <v>22890</v>
      </c>
      <c r="F23" s="17">
        <v>31799</v>
      </c>
      <c r="G23" s="18">
        <f>IF(AND(F65&lt;&gt;0,31799&lt;&gt;0),IF(100*31799/(F65-0)&lt;0.005,"*",100*31799/(F65-0)),0)</f>
        <v>1.3808631534608429</v>
      </c>
    </row>
    <row r="24" spans="1:7" x14ac:dyDescent="0.2">
      <c r="A24" s="11" t="s">
        <v>125</v>
      </c>
      <c r="B24" s="17">
        <v>25898</v>
      </c>
      <c r="C24" s="17">
        <v>0</v>
      </c>
      <c r="D24" s="17">
        <v>25411</v>
      </c>
      <c r="E24" s="17">
        <v>25411</v>
      </c>
      <c r="F24" s="17">
        <v>35300</v>
      </c>
      <c r="G24" s="18">
        <f>IF(AND(F65&lt;&gt;0,35300&lt;&gt;0),IF(100*35300/(F65-0)&lt;0.005,"*",100*35300/(F65-0)),0)</f>
        <v>1.5328931512678936</v>
      </c>
    </row>
    <row r="25" spans="1:7" x14ac:dyDescent="0.2">
      <c r="A25" s="11" t="s">
        <v>126</v>
      </c>
      <c r="B25" s="17">
        <v>5634</v>
      </c>
      <c r="C25" s="17">
        <v>0</v>
      </c>
      <c r="D25" s="17">
        <v>5634</v>
      </c>
      <c r="E25" s="17">
        <v>5634</v>
      </c>
      <c r="F25" s="17">
        <v>7680</v>
      </c>
      <c r="G25" s="18">
        <f>IF(AND(F65&lt;&gt;0,7680&lt;&gt;0),IF(100*7680/(F65-0)&lt;0.005,"*",100*7680/(F65-0)),0)</f>
        <v>0.33350196605488452</v>
      </c>
    </row>
    <row r="26" spans="1:7" x14ac:dyDescent="0.2">
      <c r="A26" s="11" t="s">
        <v>127</v>
      </c>
      <c r="B26" s="17">
        <v>31076</v>
      </c>
      <c r="C26" s="17">
        <v>0</v>
      </c>
      <c r="D26" s="17">
        <v>30490</v>
      </c>
      <c r="E26" s="17">
        <v>30490</v>
      </c>
      <c r="F26" s="17">
        <v>42357</v>
      </c>
      <c r="G26" s="18">
        <f>IF(AND(F65&lt;&gt;0,42357&lt;&gt;0),IF(100*42357/(F65-0)&lt;0.005,"*",100*42357/(F65-0)),0)</f>
        <v>1.8393415073159822</v>
      </c>
    </row>
    <row r="27" spans="1:7" x14ac:dyDescent="0.2">
      <c r="A27" s="11" t="s">
        <v>128</v>
      </c>
      <c r="B27" s="17">
        <v>31357</v>
      </c>
      <c r="C27" s="17">
        <v>0</v>
      </c>
      <c r="D27" s="17">
        <v>30765</v>
      </c>
      <c r="E27" s="17">
        <v>30765</v>
      </c>
      <c r="F27" s="17">
        <v>42741</v>
      </c>
      <c r="G27" s="18">
        <f>IF(AND(F65&lt;&gt;0,42741&lt;&gt;0),IF(100*42741/(F65-0)&lt;0.005,"*",100*42741/(F65-0)),0)</f>
        <v>1.8560166056187264</v>
      </c>
    </row>
    <row r="28" spans="1:7" x14ac:dyDescent="0.2">
      <c r="A28" s="11" t="s">
        <v>129</v>
      </c>
      <c r="B28" s="17">
        <v>48724</v>
      </c>
      <c r="C28" s="17">
        <v>0</v>
      </c>
      <c r="D28" s="17">
        <v>48724</v>
      </c>
      <c r="E28" s="17">
        <v>48724</v>
      </c>
      <c r="F28" s="17">
        <v>66412</v>
      </c>
      <c r="G28" s="18">
        <f>IF(AND(F65&lt;&gt;0,66412&lt;&gt;0),IF(100*66412/(F65-0)&lt;0.005,"*",100*66412/(F65-0)),0)</f>
        <v>2.8839235116714832</v>
      </c>
    </row>
    <row r="29" spans="1:7" x14ac:dyDescent="0.2">
      <c r="A29" s="11" t="s">
        <v>130</v>
      </c>
      <c r="B29" s="17">
        <v>29811</v>
      </c>
      <c r="C29" s="17">
        <v>0</v>
      </c>
      <c r="D29" s="17">
        <v>29250</v>
      </c>
      <c r="E29" s="17">
        <v>29250</v>
      </c>
      <c r="F29" s="17">
        <v>40632</v>
      </c>
      <c r="G29" s="18">
        <f>IF(AND(F65&lt;&gt;0,40632&lt;&gt;0),IF(100*40632/(F65-0)&lt;0.005,"*",100*40632/(F65-0)),0)</f>
        <v>1.7644338391591234</v>
      </c>
    </row>
    <row r="30" spans="1:7" x14ac:dyDescent="0.2">
      <c r="A30" s="11" t="s">
        <v>131</v>
      </c>
      <c r="B30" s="17">
        <v>16422</v>
      </c>
      <c r="C30" s="17">
        <v>0</v>
      </c>
      <c r="D30" s="17">
        <v>16422</v>
      </c>
      <c r="E30" s="17">
        <v>16422</v>
      </c>
      <c r="F30" s="17">
        <v>22383</v>
      </c>
      <c r="G30" s="18">
        <f>IF(AND(F65&lt;&gt;0,22383&lt;&gt;0),IF(100*22383/(F65-0)&lt;0.005,"*",100*22383/(F65-0)),0)</f>
        <v>0.97197584716230212</v>
      </c>
    </row>
    <row r="31" spans="1:7" x14ac:dyDescent="0.2">
      <c r="A31" s="11" t="s">
        <v>132</v>
      </c>
      <c r="B31" s="17">
        <v>31384</v>
      </c>
      <c r="C31" s="17">
        <v>0</v>
      </c>
      <c r="D31" s="17">
        <v>31384</v>
      </c>
      <c r="E31" s="17">
        <v>31384</v>
      </c>
      <c r="F31" s="17">
        <v>42776</v>
      </c>
      <c r="G31" s="18">
        <f>IF(AND(F65&lt;&gt;0,42776&lt;&gt;0),IF(100*42776/(F65-0)&lt;0.005,"*",100*42776/(F65-0)),0)</f>
        <v>1.8575364713494453</v>
      </c>
    </row>
    <row r="32" spans="1:7" x14ac:dyDescent="0.2">
      <c r="A32" s="11" t="s">
        <v>133</v>
      </c>
      <c r="B32" s="17">
        <v>5255</v>
      </c>
      <c r="C32" s="17">
        <v>0</v>
      </c>
      <c r="D32" s="17">
        <v>5157</v>
      </c>
      <c r="E32" s="17">
        <v>5157</v>
      </c>
      <c r="F32" s="17">
        <v>7163</v>
      </c>
      <c r="G32" s="18">
        <f>IF(AND(F65&lt;&gt;0,7163&lt;&gt;0),IF(100*7163/(F65-0)&lt;0.005,"*",100*7163/(F65-0)),0)</f>
        <v>0.31105137797540855</v>
      </c>
    </row>
    <row r="33" spans="1:7" x14ac:dyDescent="0.2">
      <c r="A33" s="11" t="s">
        <v>134</v>
      </c>
      <c r="B33" s="17">
        <v>10811</v>
      </c>
      <c r="C33" s="17">
        <v>0</v>
      </c>
      <c r="D33" s="17">
        <v>10811</v>
      </c>
      <c r="E33" s="17">
        <v>10811</v>
      </c>
      <c r="F33" s="17">
        <v>14735</v>
      </c>
      <c r="G33" s="18">
        <f>IF(AND(F65&lt;&gt;0,14735&lt;&gt;0),IF(100*14735/(F65-0)&lt;0.005,"*",100*14735/(F65-0)),0)</f>
        <v>0.63986347263264631</v>
      </c>
    </row>
    <row r="34" spans="1:7" x14ac:dyDescent="0.2">
      <c r="A34" s="11" t="s">
        <v>135</v>
      </c>
      <c r="B34" s="17">
        <v>15485</v>
      </c>
      <c r="C34" s="17">
        <v>0</v>
      </c>
      <c r="D34" s="17">
        <v>15197</v>
      </c>
      <c r="E34" s="17">
        <v>15197</v>
      </c>
      <c r="F34" s="17">
        <v>21107</v>
      </c>
      <c r="G34" s="18">
        <f>IF(AND(F65&lt;&gt;0,21107&lt;&gt;0),IF(100*21107/(F65-0)&lt;0.005,"*",100*21107/(F65-0)),0)</f>
        <v>0.91656588509380832</v>
      </c>
    </row>
    <row r="35" spans="1:7" x14ac:dyDescent="0.2">
      <c r="A35" s="11" t="s">
        <v>136</v>
      </c>
      <c r="B35" s="17">
        <v>5840</v>
      </c>
      <c r="C35" s="17">
        <v>0</v>
      </c>
      <c r="D35" s="17">
        <v>5729</v>
      </c>
      <c r="E35" s="17">
        <v>5729</v>
      </c>
      <c r="F35" s="17">
        <v>7960</v>
      </c>
      <c r="G35" s="18">
        <f>IF(AND(F65&lt;&gt;0,7960&lt;&gt;0),IF(100*7960/(F65-0)&lt;0.005,"*",100*7960/(F65-0)),0)</f>
        <v>0.34566089190063554</v>
      </c>
    </row>
    <row r="36" spans="1:7" x14ac:dyDescent="0.2">
      <c r="A36" s="11" t="s">
        <v>137</v>
      </c>
      <c r="B36" s="17">
        <v>45477</v>
      </c>
      <c r="C36" s="17">
        <v>0</v>
      </c>
      <c r="D36" s="17">
        <v>44614</v>
      </c>
      <c r="E36" s="17">
        <v>44614</v>
      </c>
      <c r="F36" s="17">
        <v>61985</v>
      </c>
      <c r="G36" s="18">
        <f>IF(AND(F65&lt;&gt;0,61985&lt;&gt;0),IF(100*61985/(F65-0)&lt;0.005,"*",100*61985/(F65-0)),0)</f>
        <v>2.6916822091031274</v>
      </c>
    </row>
    <row r="37" spans="1:7" x14ac:dyDescent="0.2">
      <c r="A37" s="11" t="s">
        <v>138</v>
      </c>
      <c r="B37" s="17">
        <v>11518</v>
      </c>
      <c r="C37" s="17">
        <v>0</v>
      </c>
      <c r="D37" s="17">
        <v>11298</v>
      </c>
      <c r="E37" s="17">
        <v>11298</v>
      </c>
      <c r="F37" s="17">
        <v>15699</v>
      </c>
      <c r="G37" s="18">
        <f>IF(AND(F65&lt;&gt;0,15699&lt;&gt;0),IF(100*15699/(F65-0)&lt;0.005,"*",100*15699/(F65-0)),0)</f>
        <v>0.68172491733016038</v>
      </c>
    </row>
    <row r="38" spans="1:7" x14ac:dyDescent="0.2">
      <c r="A38" s="11" t="s">
        <v>139</v>
      </c>
      <c r="B38" s="17">
        <v>96827</v>
      </c>
      <c r="C38" s="17">
        <v>0</v>
      </c>
      <c r="D38" s="17">
        <v>94997</v>
      </c>
      <c r="E38" s="17">
        <v>94997</v>
      </c>
      <c r="F38" s="17">
        <v>131977</v>
      </c>
      <c r="G38" s="18">
        <f>IF(AND(F65&lt;&gt;0,131977&lt;&gt;0),IF(100*131977/(F65-0)&lt;0.005,"*",100*131977/(F65-0)),0)</f>
        <v>5.7310662726595698</v>
      </c>
    </row>
    <row r="39" spans="1:7" x14ac:dyDescent="0.2">
      <c r="A39" s="11" t="s">
        <v>140</v>
      </c>
      <c r="B39" s="17">
        <v>52552</v>
      </c>
      <c r="C39" s="17">
        <v>0</v>
      </c>
      <c r="D39" s="17">
        <v>51559</v>
      </c>
      <c r="E39" s="17">
        <v>51559</v>
      </c>
      <c r="F39" s="17">
        <v>71629</v>
      </c>
      <c r="G39" s="18">
        <f>IF(AND(F65&lt;&gt;0,71629&lt;&gt;0),IF(100*71629/(F65-0)&lt;0.005,"*",100*71629/(F65-0)),0)</f>
        <v>3.1104703550189226</v>
      </c>
    </row>
    <row r="40" spans="1:7" x14ac:dyDescent="0.2">
      <c r="A40" s="11" t="s">
        <v>141</v>
      </c>
      <c r="B40" s="17">
        <v>4186</v>
      </c>
      <c r="C40" s="17">
        <v>0</v>
      </c>
      <c r="D40" s="17">
        <v>4110</v>
      </c>
      <c r="E40" s="17">
        <v>4110</v>
      </c>
      <c r="F40" s="17">
        <v>5706</v>
      </c>
      <c r="G40" s="18">
        <f>IF(AND(F65&lt;&gt;0,5706&lt;&gt;0),IF(100*5706/(F65-0)&lt;0.005,"*",100*5706/(F65-0)),0)</f>
        <v>0.24778153884234</v>
      </c>
    </row>
    <row r="41" spans="1:7" x14ac:dyDescent="0.2">
      <c r="A41" s="11" t="s">
        <v>142</v>
      </c>
      <c r="B41" s="17">
        <v>59711</v>
      </c>
      <c r="C41" s="17">
        <v>0</v>
      </c>
      <c r="D41" s="17">
        <v>58581</v>
      </c>
      <c r="E41" s="17">
        <v>58581</v>
      </c>
      <c r="F41" s="17">
        <v>81386</v>
      </c>
      <c r="G41" s="18">
        <f>IF(AND(F65&lt;&gt;0,81386&lt;&gt;0),IF(100*81386/(F65-0)&lt;0.005,"*",100*81386/(F65-0)),0)</f>
        <v>3.5341654960081814</v>
      </c>
    </row>
    <row r="42" spans="1:7" x14ac:dyDescent="0.2">
      <c r="A42" s="11" t="s">
        <v>143</v>
      </c>
      <c r="B42" s="17">
        <v>22440</v>
      </c>
      <c r="C42" s="17">
        <v>0</v>
      </c>
      <c r="D42" s="17">
        <v>22020</v>
      </c>
      <c r="E42" s="17">
        <v>22020</v>
      </c>
      <c r="F42" s="17">
        <v>30586</v>
      </c>
      <c r="G42" s="18">
        <f>IF(AND(F65&lt;&gt;0,30586&lt;&gt;0),IF(100*30586/(F65-0)&lt;0.005,"*",100*30586/(F65-0)),0)</f>
        <v>1.3281889497076429</v>
      </c>
    </row>
    <row r="43" spans="1:7" x14ac:dyDescent="0.2">
      <c r="A43" s="11" t="s">
        <v>144</v>
      </c>
      <c r="B43" s="17">
        <v>19853</v>
      </c>
      <c r="C43" s="17">
        <v>0</v>
      </c>
      <c r="D43" s="17">
        <v>19482</v>
      </c>
      <c r="E43" s="17">
        <v>19482</v>
      </c>
      <c r="F43" s="17">
        <v>27060</v>
      </c>
      <c r="G43" s="18">
        <f>IF(AND(F65&lt;&gt;0,27060&lt;&gt;0),IF(100*27060/(F65-0)&lt;0.005,"*",100*27060/(F65-0)),0)</f>
        <v>1.1750733335215071</v>
      </c>
    </row>
    <row r="44" spans="1:7" x14ac:dyDescent="0.2">
      <c r="A44" s="11" t="s">
        <v>145</v>
      </c>
      <c r="B44" s="17">
        <v>61158</v>
      </c>
      <c r="C44" s="17">
        <v>0</v>
      </c>
      <c r="D44" s="17">
        <v>60002</v>
      </c>
      <c r="E44" s="17">
        <v>60002</v>
      </c>
      <c r="F44" s="17">
        <v>83360</v>
      </c>
      <c r="G44" s="18">
        <f>IF(AND(F65&lt;&gt;0,83360&lt;&gt;0),IF(100*83360/(F65-0)&lt;0.005,"*",100*83360/(F65-0)),0)</f>
        <v>3.6198859232207257</v>
      </c>
    </row>
    <row r="45" spans="1:7" x14ac:dyDescent="0.2">
      <c r="A45" s="11" t="s">
        <v>146</v>
      </c>
      <c r="B45" s="17">
        <v>4759</v>
      </c>
      <c r="C45" s="17">
        <v>0</v>
      </c>
      <c r="D45" s="17">
        <v>4668</v>
      </c>
      <c r="E45" s="17">
        <v>4668</v>
      </c>
      <c r="F45" s="17">
        <v>6486</v>
      </c>
      <c r="G45" s="18">
        <f>IF(AND(F65&lt;&gt;0,6486&lt;&gt;0),IF(100*6486/(F65-0)&lt;0.005,"*",100*6486/(F65-0)),0)</f>
        <v>0.28165283226978921</v>
      </c>
    </row>
    <row r="46" spans="1:7" x14ac:dyDescent="0.2">
      <c r="A46" s="11" t="s">
        <v>147</v>
      </c>
      <c r="B46" s="17">
        <v>24675</v>
      </c>
      <c r="C46" s="17">
        <v>0</v>
      </c>
      <c r="D46" s="17">
        <v>24675</v>
      </c>
      <c r="E46" s="17">
        <v>24675</v>
      </c>
      <c r="F46" s="17">
        <v>33632</v>
      </c>
      <c r="G46" s="18">
        <f>IF(AND(F65&lt;&gt;0,33632&lt;&gt;0),IF(100*33632/(F65-0)&lt;0.005,"*",100*33632/(F65-0)),0)</f>
        <v>1.4604606930153485</v>
      </c>
    </row>
    <row r="47" spans="1:7" x14ac:dyDescent="0.2">
      <c r="A47" s="11" t="s">
        <v>148</v>
      </c>
      <c r="B47" s="17">
        <v>5017</v>
      </c>
      <c r="C47" s="17">
        <v>0</v>
      </c>
      <c r="D47" s="17">
        <v>4923</v>
      </c>
      <c r="E47" s="17">
        <v>4923</v>
      </c>
      <c r="F47" s="17">
        <v>6838</v>
      </c>
      <c r="G47" s="18">
        <f>IF(AND(F65&lt;&gt;0,6838&lt;&gt;0),IF(100*6838/(F65-0)&lt;0.005,"*",100*6838/(F65-0)),0)</f>
        <v>0.29693833904730471</v>
      </c>
    </row>
    <row r="48" spans="1:7" x14ac:dyDescent="0.2">
      <c r="A48" s="11" t="s">
        <v>149</v>
      </c>
      <c r="B48" s="17">
        <v>33745</v>
      </c>
      <c r="C48" s="17">
        <v>0</v>
      </c>
      <c r="D48" s="17">
        <v>33745</v>
      </c>
      <c r="E48" s="17">
        <v>33745</v>
      </c>
      <c r="F48" s="17">
        <v>45995</v>
      </c>
      <c r="G48" s="18">
        <f>IF(AND(F65&lt;&gt;0,45995&lt;&gt;0),IF(100*45995/(F65-0)&lt;0.005,"*",100*45995/(F65-0)),0)</f>
        <v>1.9973206938404184</v>
      </c>
    </row>
    <row r="49" spans="1:7" x14ac:dyDescent="0.2">
      <c r="A49" s="11" t="s">
        <v>150</v>
      </c>
      <c r="B49" s="17">
        <v>167819</v>
      </c>
      <c r="C49" s="17">
        <v>0</v>
      </c>
      <c r="D49" s="17">
        <v>164693</v>
      </c>
      <c r="E49" s="17">
        <v>164693</v>
      </c>
      <c r="F49" s="17">
        <v>228740</v>
      </c>
      <c r="G49" s="18">
        <f>IF(AND(F65&lt;&gt;0,228740&lt;&gt;0),IF(100*228740/(F65-0)&lt;0.005,"*",100*228740/(F65-0)),0)</f>
        <v>9.9329739212752983</v>
      </c>
    </row>
    <row r="50" spans="1:7" x14ac:dyDescent="0.2">
      <c r="A50" s="11" t="s">
        <v>151</v>
      </c>
      <c r="B50" s="17">
        <v>21484</v>
      </c>
      <c r="C50" s="17">
        <v>0</v>
      </c>
      <c r="D50" s="17">
        <v>21081</v>
      </c>
      <c r="E50" s="17">
        <v>21081</v>
      </c>
      <c r="F50" s="17">
        <v>29283</v>
      </c>
      <c r="G50" s="18">
        <f>IF(AND(F65&lt;&gt;0,29283&lt;&gt;0),IF(100*29283/(F65-0)&lt;0.005,"*",100*29283/(F65-0)),0)</f>
        <v>1.2716065197897375</v>
      </c>
    </row>
    <row r="51" spans="1:7" x14ac:dyDescent="0.2">
      <c r="A51" s="11" t="s">
        <v>152</v>
      </c>
      <c r="B51" s="17">
        <v>2677</v>
      </c>
      <c r="C51" s="17">
        <v>0</v>
      </c>
      <c r="D51" s="17">
        <v>2626</v>
      </c>
      <c r="E51" s="17">
        <v>2626</v>
      </c>
      <c r="F51" s="17">
        <v>3649</v>
      </c>
      <c r="G51" s="18">
        <f>IF(AND(F65&lt;&gt;0,3649&lt;&gt;0),IF(100*3649/(F65-0)&lt;0.005,"*",100*3649/(F65-0)),0)</f>
        <v>0.15845685861123354</v>
      </c>
    </row>
    <row r="52" spans="1:7" x14ac:dyDescent="0.2">
      <c r="A52" s="11" t="s">
        <v>153</v>
      </c>
      <c r="B52" s="17">
        <v>42443</v>
      </c>
      <c r="C52" s="17">
        <v>0</v>
      </c>
      <c r="D52" s="17">
        <v>42443</v>
      </c>
      <c r="E52" s="17">
        <v>42443</v>
      </c>
      <c r="F52" s="17">
        <v>57850</v>
      </c>
      <c r="G52" s="18">
        <f>IF(AND(F65&lt;&gt;0,57850&lt;&gt;0),IF(100*57850/(F65-0)&lt;0.005,"*",100*57850/(F65-0)),0)</f>
        <v>2.5121209292024829</v>
      </c>
    </row>
    <row r="53" spans="1:7" x14ac:dyDescent="0.2">
      <c r="A53" s="11" t="s">
        <v>154</v>
      </c>
      <c r="B53" s="17">
        <v>37498</v>
      </c>
      <c r="C53" s="17">
        <v>0</v>
      </c>
      <c r="D53" s="17">
        <v>36797</v>
      </c>
      <c r="E53" s="17">
        <v>36797</v>
      </c>
      <c r="F53" s="17">
        <v>51110</v>
      </c>
      <c r="G53" s="18">
        <f>IF(AND(F65&lt;&gt;0,51110&lt;&gt;0),IF(100*51110/(F65-0)&lt;0.005,"*",100*51110/(F65-0)),0)</f>
        <v>2.2194382142011913</v>
      </c>
    </row>
    <row r="54" spans="1:7" x14ac:dyDescent="0.2">
      <c r="A54" s="11" t="s">
        <v>155</v>
      </c>
      <c r="B54" s="17">
        <v>8694</v>
      </c>
      <c r="C54" s="17">
        <v>0</v>
      </c>
      <c r="D54" s="17">
        <v>8530</v>
      </c>
      <c r="E54" s="17">
        <v>8530</v>
      </c>
      <c r="F54" s="17">
        <v>11851</v>
      </c>
      <c r="G54" s="18">
        <f>IF(AND(F65&lt;&gt;0,11851&lt;&gt;0),IF(100*11851/(F65-0)&lt;0.005,"*",100*11851/(F65-0)),0)</f>
        <v>0.51462653642141098</v>
      </c>
    </row>
    <row r="55" spans="1:7" x14ac:dyDescent="0.2">
      <c r="A55" s="11" t="s">
        <v>156</v>
      </c>
      <c r="B55" s="17">
        <v>29584</v>
      </c>
      <c r="C55" s="17">
        <v>0</v>
      </c>
      <c r="D55" s="17">
        <v>29024</v>
      </c>
      <c r="E55" s="17">
        <v>29024</v>
      </c>
      <c r="F55" s="17">
        <v>40323</v>
      </c>
      <c r="G55" s="18">
        <f>IF(AND(F65&lt;&gt;0,40323&lt;&gt;0),IF(100*40323/(F65-0)&lt;0.005,"*",100*40323/(F65-0)),0)</f>
        <v>1.751015595993634</v>
      </c>
    </row>
    <row r="56" spans="1:7" x14ac:dyDescent="0.2">
      <c r="A56" s="11" t="s">
        <v>157</v>
      </c>
      <c r="B56" s="17">
        <v>3281</v>
      </c>
      <c r="C56" s="17">
        <v>0</v>
      </c>
      <c r="D56" s="17">
        <v>3220</v>
      </c>
      <c r="E56" s="17">
        <v>3220</v>
      </c>
      <c r="F56" s="17">
        <v>4472</v>
      </c>
      <c r="G56" s="18">
        <f>IF(AND(F65&lt;&gt;0,4472&lt;&gt;0),IF(100*4472/(F65-0)&lt;0.005,"*",100*4472/(F65-0)),0)</f>
        <v>0.1941954156507088</v>
      </c>
    </row>
    <row r="57" spans="1:7" x14ac:dyDescent="0.2">
      <c r="A57" s="11" t="s">
        <v>158</v>
      </c>
      <c r="B57" s="17">
        <v>0</v>
      </c>
      <c r="C57" s="17">
        <v>0</v>
      </c>
      <c r="D57" s="17">
        <v>0</v>
      </c>
      <c r="E57" s="17">
        <v>0</v>
      </c>
      <c r="F57" s="17">
        <v>0</v>
      </c>
      <c r="G57" s="18">
        <f>IF(AND(F65&lt;&gt;0,0&lt;&gt;0),IF(100*0/(F65-0)&lt;0.005,"*",100*0/(F65-0)),0)</f>
        <v>0</v>
      </c>
    </row>
    <row r="58" spans="1:7" x14ac:dyDescent="0.2">
      <c r="A58" s="11" t="s">
        <v>159</v>
      </c>
      <c r="B58" s="17">
        <v>0</v>
      </c>
      <c r="C58" s="17">
        <v>0</v>
      </c>
      <c r="D58" s="17">
        <v>0</v>
      </c>
      <c r="E58" s="17">
        <v>0</v>
      </c>
      <c r="F58" s="17">
        <v>0</v>
      </c>
      <c r="G58" s="18">
        <f>IF(AND(F65&lt;&gt;0,0&lt;&gt;0),IF(100*0/(F65-0)&lt;0.005,"*",100*0/(F65-0)),0)</f>
        <v>0</v>
      </c>
    </row>
    <row r="59" spans="1:7" x14ac:dyDescent="0.2">
      <c r="A59" s="11" t="s">
        <v>160</v>
      </c>
      <c r="B59" s="17">
        <v>0</v>
      </c>
      <c r="C59" s="17">
        <v>0</v>
      </c>
      <c r="D59" s="17">
        <v>0</v>
      </c>
      <c r="E59" s="17">
        <v>0</v>
      </c>
      <c r="F59" s="17">
        <v>0</v>
      </c>
      <c r="G59" s="18">
        <f>IF(AND(F65&lt;&gt;0,0&lt;&gt;0),IF(100*0/(F65-0)&lt;0.005,"*",100*0/(F65-0)),0)</f>
        <v>0</v>
      </c>
    </row>
    <row r="60" spans="1:7" x14ac:dyDescent="0.2">
      <c r="A60" s="11" t="s">
        <v>161</v>
      </c>
      <c r="B60" s="17">
        <v>0</v>
      </c>
      <c r="C60" s="17">
        <v>0</v>
      </c>
      <c r="D60" s="17">
        <v>0</v>
      </c>
      <c r="E60" s="17">
        <v>0</v>
      </c>
      <c r="F60" s="17">
        <v>0</v>
      </c>
      <c r="G60" s="18">
        <f>IF(AND(F65&lt;&gt;0,0&lt;&gt;0),IF(100*0/(F65-0)&lt;0.005,"*",100*0/(F65-0)),0)</f>
        <v>0</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0</v>
      </c>
      <c r="C62" s="17">
        <v>0</v>
      </c>
      <c r="D62" s="17">
        <v>0</v>
      </c>
      <c r="E62" s="17">
        <v>0</v>
      </c>
      <c r="F62" s="17">
        <v>0</v>
      </c>
      <c r="G62" s="18">
        <f>IF(AND(F65&lt;&gt;0,0&lt;&gt;0),IF(100*0/(F65-0)&lt;0.005,"*",100*0/(F65-0)),0)</f>
        <v>0</v>
      </c>
    </row>
    <row r="63" spans="1:7" x14ac:dyDescent="0.2">
      <c r="A63" s="11" t="s">
        <v>164</v>
      </c>
      <c r="B63" s="17">
        <v>0</v>
      </c>
      <c r="C63" s="17">
        <v>0</v>
      </c>
      <c r="D63" s="17">
        <v>0</v>
      </c>
      <c r="E63" s="17">
        <v>0</v>
      </c>
      <c r="F63" s="17">
        <v>0</v>
      </c>
      <c r="G63" s="18">
        <f>IF(AND(F65&lt;&gt;0,0&lt;&gt;0),IF(100*0/(F65-0)&lt;0.005,"*",100*0/(F65-0)),0)</f>
        <v>0</v>
      </c>
    </row>
    <row r="64" spans="1:7" x14ac:dyDescent="0.2">
      <c r="A64" s="11" t="s">
        <v>165</v>
      </c>
      <c r="B64" s="17">
        <v>0</v>
      </c>
      <c r="C64" s="17">
        <v>0</v>
      </c>
      <c r="D64" s="17">
        <v>0</v>
      </c>
      <c r="E64" s="17">
        <v>0</v>
      </c>
      <c r="F64" s="17">
        <v>0</v>
      </c>
      <c r="G64" s="18">
        <v>0</v>
      </c>
    </row>
    <row r="65" spans="1:7" ht="15" customHeight="1" x14ac:dyDescent="0.2">
      <c r="A65" s="19" t="s">
        <v>106</v>
      </c>
      <c r="B65" s="20" t="s">
        <v>429</v>
      </c>
      <c r="C65" s="20">
        <f>0+0+0+0+0+0+0+0+0+0+0+0+0+0+0+0+0+0+0+0+0+0+0+0+0+0+0+0+0+0+0+0+0+0+0+0+0+0+0+0+0+0+0+0+0+0+0+0+0+0+0+0+0+0+0+0+0+0+0+0</f>
        <v>0</v>
      </c>
      <c r="D65" s="20">
        <f>24674+4316+36697+15971+206959+28614+16618+4625+2912+91998+56445+7257+9800+66329+35448+16531+16404+22890+25411+5634+30490+30765+48724+29250+16422+31384+5157+10811+15197+5729+44614+11298+94997+51559+4110+58581+22020+19482+60002+4668+24675+4923+33745+164693+21081+2626+42443+36797+8530+29024+3220+0+0+0+0+0+0+0+0+0</f>
        <v>1662550</v>
      </c>
      <c r="E65" s="20">
        <f>SUM(C65:D65)</f>
        <v>1662550</v>
      </c>
      <c r="F65" s="20">
        <f>34279+5995+50979+22188+287516+39747+22651+6425+4042+127771+78412+10080+13358+92162+49246+22963+22359+31799+35300+7680+42357+42741+66412+40632+22383+42776+7163+14735+21107+7960+61985+15699+131977+71629+5706+81386+30586+27060+83360+6486+33632+6838+45995+228740+29283+3649+57850+51110+11851+40323+4472+0+0+0+0+0+0+0+0+0</f>
        <v>2302835</v>
      </c>
      <c r="G65" s="21" t="s">
        <v>219</v>
      </c>
    </row>
    <row r="66" spans="1:7" ht="15" customHeight="1" x14ac:dyDescent="0.2">
      <c r="A66" s="73" t="s">
        <v>428</v>
      </c>
      <c r="B66" s="73"/>
      <c r="C66" s="73"/>
      <c r="D66" s="73"/>
      <c r="E66" s="73"/>
      <c r="F66" s="73"/>
      <c r="G66" s="73"/>
    </row>
    <row r="67" spans="1:7" ht="15" customHeight="1" x14ac:dyDescent="0.2">
      <c r="A67" s="65" t="s">
        <v>221</v>
      </c>
      <c r="B67" s="65"/>
      <c r="C67" s="65"/>
      <c r="D67" s="65"/>
      <c r="E67" s="65"/>
      <c r="F67" s="65"/>
      <c r="G67" s="65"/>
    </row>
  </sheetData>
  <mergeCells count="6">
    <mergeCell ref="A67:G67"/>
    <mergeCell ref="A4:A5"/>
    <mergeCell ref="B4:B5"/>
    <mergeCell ref="F4:F5"/>
    <mergeCell ref="G4:G5"/>
    <mergeCell ref="A66:G66"/>
  </mergeCells>
  <pageMargins left="0.7" right="0.7" top="0.75" bottom="0.75" header="0.3" footer="0.3"/>
  <pageSetup scale="7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213</v>
      </c>
    </row>
    <row r="2" spans="1:7" x14ac:dyDescent="0.2">
      <c r="A2" s="13" t="s">
        <v>214</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141099</v>
      </c>
      <c r="C6" s="17">
        <v>0</v>
      </c>
      <c r="D6" s="17">
        <v>140025</v>
      </c>
      <c r="E6" s="17">
        <v>140025</v>
      </c>
      <c r="F6" s="17">
        <v>140183</v>
      </c>
      <c r="G6" s="18">
        <f>IF(AND(F69&lt;&gt;0,140183&lt;&gt;0),IF(100*140183/(F69-0)&lt;0.005,"*",100*140183/(F69-0)),0)</f>
        <v>1.5114070080862534</v>
      </c>
    </row>
    <row r="7" spans="1:7" x14ac:dyDescent="0.2">
      <c r="A7" s="11" t="s">
        <v>108</v>
      </c>
      <c r="B7" s="17">
        <v>17506</v>
      </c>
      <c r="C7" s="17">
        <v>0</v>
      </c>
      <c r="D7" s="17">
        <v>16756</v>
      </c>
      <c r="E7" s="17">
        <v>16756</v>
      </c>
      <c r="F7" s="17">
        <v>16806</v>
      </c>
      <c r="G7" s="18">
        <f>IF(AND(F69&lt;&gt;0,16806&lt;&gt;0),IF(100*16806/(F69-0)&lt;0.005,"*",100*16806/(F69-0)),0)</f>
        <v>0.1811967654986523</v>
      </c>
    </row>
    <row r="8" spans="1:7" x14ac:dyDescent="0.2">
      <c r="A8" s="11" t="s">
        <v>109</v>
      </c>
      <c r="B8" s="17">
        <v>157736</v>
      </c>
      <c r="C8" s="17">
        <v>0</v>
      </c>
      <c r="D8" s="17">
        <v>148892</v>
      </c>
      <c r="E8" s="17">
        <v>148892</v>
      </c>
      <c r="F8" s="17">
        <v>148665</v>
      </c>
      <c r="G8" s="18">
        <f>IF(AND(F69&lt;&gt;0,148665&lt;&gt;0),IF(100*148665/(F69-0)&lt;0.005,"*",100*148665/(F69-0)),0)</f>
        <v>1.6028571428571428</v>
      </c>
    </row>
    <row r="9" spans="1:7" x14ac:dyDescent="0.2">
      <c r="A9" s="11" t="s">
        <v>110</v>
      </c>
      <c r="B9" s="17">
        <v>92445</v>
      </c>
      <c r="C9" s="17">
        <v>0</v>
      </c>
      <c r="D9" s="17">
        <v>92412</v>
      </c>
      <c r="E9" s="17">
        <v>92412</v>
      </c>
      <c r="F9" s="17">
        <v>91583</v>
      </c>
      <c r="G9" s="18">
        <f>IF(AND(F69&lt;&gt;0,91583&lt;&gt;0),IF(100*91583/(F69-0)&lt;0.005,"*",100*91583/(F69-0)),0)</f>
        <v>0.98741778975741235</v>
      </c>
    </row>
    <row r="10" spans="1:7" x14ac:dyDescent="0.2">
      <c r="A10" s="11" t="s">
        <v>111</v>
      </c>
      <c r="B10" s="17">
        <v>1210418</v>
      </c>
      <c r="C10" s="17">
        <v>0</v>
      </c>
      <c r="D10" s="17">
        <v>1144945</v>
      </c>
      <c r="E10" s="17">
        <v>1144945</v>
      </c>
      <c r="F10" s="17">
        <v>1147283</v>
      </c>
      <c r="G10" s="18">
        <f>IF(AND(F69&lt;&gt;0,1147283&lt;&gt;0),IF(100*1147283/(F69-0)&lt;0.005,"*",100*1147283/(F69-0)),0)</f>
        <v>12.369628032345014</v>
      </c>
    </row>
    <row r="11" spans="1:7" x14ac:dyDescent="0.2">
      <c r="A11" s="11" t="s">
        <v>112</v>
      </c>
      <c r="B11" s="17">
        <v>110072</v>
      </c>
      <c r="C11" s="17">
        <v>0</v>
      </c>
      <c r="D11" s="17">
        <v>101328</v>
      </c>
      <c r="E11" s="17">
        <v>101328</v>
      </c>
      <c r="F11" s="17">
        <v>101403</v>
      </c>
      <c r="G11" s="18">
        <f>IF(AND(F69&lt;&gt;0,101403&lt;&gt;0),IF(100*101403/(F69-0)&lt;0.005,"*",100*101403/(F69-0)),0)</f>
        <v>1.0932938005390835</v>
      </c>
    </row>
    <row r="12" spans="1:7" x14ac:dyDescent="0.2">
      <c r="A12" s="11" t="s">
        <v>113</v>
      </c>
      <c r="B12" s="17">
        <v>65590</v>
      </c>
      <c r="C12" s="17">
        <v>0</v>
      </c>
      <c r="D12" s="17">
        <v>65047</v>
      </c>
      <c r="E12" s="17">
        <v>65047</v>
      </c>
      <c r="F12" s="17">
        <v>65271</v>
      </c>
      <c r="G12" s="18">
        <f>IF(AND(F69&lt;&gt;0,65271&lt;&gt;0),IF(100*65271/(F69-0)&lt;0.005,"*",100*65271/(F69-0)),0)</f>
        <v>0.70373045822102431</v>
      </c>
    </row>
    <row r="13" spans="1:7" x14ac:dyDescent="0.2">
      <c r="A13" s="11" t="s">
        <v>114</v>
      </c>
      <c r="B13" s="17">
        <v>20398</v>
      </c>
      <c r="C13" s="17">
        <v>0</v>
      </c>
      <c r="D13" s="17">
        <v>19506</v>
      </c>
      <c r="E13" s="17">
        <v>19506</v>
      </c>
      <c r="F13" s="17">
        <v>19366</v>
      </c>
      <c r="G13" s="18">
        <f>IF(AND(F69&lt;&gt;0,19366&lt;&gt;0),IF(100*19366/(F69-0)&lt;0.005,"*",100*19366/(F69-0)),0)</f>
        <v>0.2087978436657682</v>
      </c>
    </row>
    <row r="14" spans="1:7" x14ac:dyDescent="0.2">
      <c r="A14" s="11" t="s">
        <v>115</v>
      </c>
      <c r="B14" s="17">
        <v>31914</v>
      </c>
      <c r="C14" s="17">
        <v>0</v>
      </c>
      <c r="D14" s="17">
        <v>31968</v>
      </c>
      <c r="E14" s="17">
        <v>31968</v>
      </c>
      <c r="F14" s="17">
        <v>31802</v>
      </c>
      <c r="G14" s="18">
        <f>IF(AND(F69&lt;&gt;0,31802&lt;&gt;0),IF(100*31802/(F69-0)&lt;0.005,"*",100*31802/(F69-0)),0)</f>
        <v>0.34287870619946093</v>
      </c>
    </row>
    <row r="15" spans="1:7" x14ac:dyDescent="0.2">
      <c r="A15" s="11" t="s">
        <v>116</v>
      </c>
      <c r="B15" s="17">
        <v>373041</v>
      </c>
      <c r="C15" s="17">
        <v>0</v>
      </c>
      <c r="D15" s="17">
        <v>370316</v>
      </c>
      <c r="E15" s="17">
        <v>370316</v>
      </c>
      <c r="F15" s="17">
        <v>369450</v>
      </c>
      <c r="G15" s="18">
        <f>IF(AND(F69&lt;&gt;0,369450&lt;&gt;0),IF(100*369450/(F69-0)&lt;0.005,"*",100*369450/(F69-0)),0)</f>
        <v>3.983288409703504</v>
      </c>
    </row>
    <row r="16" spans="1:7" x14ac:dyDescent="0.2">
      <c r="A16" s="11" t="s">
        <v>117</v>
      </c>
      <c r="B16" s="17">
        <v>231759</v>
      </c>
      <c r="C16" s="17">
        <v>0</v>
      </c>
      <c r="D16" s="17">
        <v>230504</v>
      </c>
      <c r="E16" s="17">
        <v>230504</v>
      </c>
      <c r="F16" s="17">
        <v>230590</v>
      </c>
      <c r="G16" s="18">
        <f>IF(AND(F69&lt;&gt;0,230590&lt;&gt;0),IF(100*230590/(F69-0)&lt;0.005,"*",100*230590/(F69-0)),0)</f>
        <v>2.4861455525606471</v>
      </c>
    </row>
    <row r="17" spans="1:7" x14ac:dyDescent="0.2">
      <c r="A17" s="11" t="s">
        <v>118</v>
      </c>
      <c r="B17" s="17">
        <v>28431</v>
      </c>
      <c r="C17" s="17">
        <v>0</v>
      </c>
      <c r="D17" s="17">
        <v>28153</v>
      </c>
      <c r="E17" s="17">
        <v>28153</v>
      </c>
      <c r="F17" s="17">
        <v>28264</v>
      </c>
      <c r="G17" s="18">
        <f>IF(AND(F69&lt;&gt;0,28264&lt;&gt;0),IF(100*28264/(F69-0)&lt;0.005,"*",100*28264/(F69-0)),0)</f>
        <v>0.30473315363881404</v>
      </c>
    </row>
    <row r="18" spans="1:7" x14ac:dyDescent="0.2">
      <c r="A18" s="11" t="s">
        <v>119</v>
      </c>
      <c r="B18" s="17">
        <v>34862</v>
      </c>
      <c r="C18" s="17">
        <v>0</v>
      </c>
      <c r="D18" s="17">
        <v>32230</v>
      </c>
      <c r="E18" s="17">
        <v>32230</v>
      </c>
      <c r="F18" s="17">
        <v>32390</v>
      </c>
      <c r="G18" s="18">
        <f>IF(AND(F69&lt;&gt;0,32390&lt;&gt;0),IF(100*32390/(F69-0)&lt;0.005,"*",100*32390/(F69-0)),0)</f>
        <v>0.34921832884097037</v>
      </c>
    </row>
    <row r="19" spans="1:7" x14ac:dyDescent="0.2">
      <c r="A19" s="11" t="s">
        <v>120</v>
      </c>
      <c r="B19" s="17">
        <v>360265</v>
      </c>
      <c r="C19" s="17">
        <v>0</v>
      </c>
      <c r="D19" s="17">
        <v>354219</v>
      </c>
      <c r="E19" s="17">
        <v>354219</v>
      </c>
      <c r="F19" s="17">
        <v>354932</v>
      </c>
      <c r="G19" s="18">
        <f>IF(AND(F69&lt;&gt;0,354932&lt;&gt;0),IF(100*354932/(F69-0)&lt;0.005,"*",100*354932/(F69-0)),0)</f>
        <v>3.8267601078167117</v>
      </c>
    </row>
    <row r="20" spans="1:7" x14ac:dyDescent="0.2">
      <c r="A20" s="11" t="s">
        <v>121</v>
      </c>
      <c r="B20" s="17">
        <v>143191</v>
      </c>
      <c r="C20" s="17">
        <v>0</v>
      </c>
      <c r="D20" s="17">
        <v>134649</v>
      </c>
      <c r="E20" s="17">
        <v>134649</v>
      </c>
      <c r="F20" s="17">
        <v>134819</v>
      </c>
      <c r="G20" s="18">
        <f>IF(AND(F69&lt;&gt;0,134819&lt;&gt;0),IF(100*134819/(F69-0)&lt;0.005,"*",100*134819/(F69-0)),0)</f>
        <v>1.4535741239892184</v>
      </c>
    </row>
    <row r="21" spans="1:7" x14ac:dyDescent="0.2">
      <c r="A21" s="11" t="s">
        <v>122</v>
      </c>
      <c r="B21" s="17">
        <v>69878</v>
      </c>
      <c r="C21" s="17">
        <v>0</v>
      </c>
      <c r="D21" s="17">
        <v>66932</v>
      </c>
      <c r="E21" s="17">
        <v>66932</v>
      </c>
      <c r="F21" s="17">
        <v>67314</v>
      </c>
      <c r="G21" s="18">
        <f>IF(AND(F69&lt;&gt;0,67314&lt;&gt;0),IF(100*67314/(F69-0)&lt;0.005,"*",100*67314/(F69-0)),0)</f>
        <v>0.72575741239892189</v>
      </c>
    </row>
    <row r="22" spans="1:7" x14ac:dyDescent="0.2">
      <c r="A22" s="11" t="s">
        <v>123</v>
      </c>
      <c r="B22" s="17">
        <v>75272</v>
      </c>
      <c r="C22" s="17">
        <v>0</v>
      </c>
      <c r="D22" s="17">
        <v>69793</v>
      </c>
      <c r="E22" s="17">
        <v>69793</v>
      </c>
      <c r="F22" s="17">
        <v>70199</v>
      </c>
      <c r="G22" s="18">
        <f>IF(AND(F69&lt;&gt;0,70199&lt;&gt;0),IF(100*70199/(F69-0)&lt;0.005,"*",100*70199/(F69-0)),0)</f>
        <v>0.75686253369272238</v>
      </c>
    </row>
    <row r="23" spans="1:7" x14ac:dyDescent="0.2">
      <c r="A23" s="11" t="s">
        <v>124</v>
      </c>
      <c r="B23" s="17">
        <v>162763</v>
      </c>
      <c r="C23" s="17">
        <v>0</v>
      </c>
      <c r="D23" s="17">
        <v>152028</v>
      </c>
      <c r="E23" s="17">
        <v>152028</v>
      </c>
      <c r="F23" s="17">
        <v>152353</v>
      </c>
      <c r="G23" s="18">
        <f>IF(AND(F69&lt;&gt;0,152353&lt;&gt;0),IF(100*152353/(F69-0)&lt;0.005,"*",100*152353/(F69-0)),0)</f>
        <v>1.6426199460916442</v>
      </c>
    </row>
    <row r="24" spans="1:7" x14ac:dyDescent="0.2">
      <c r="A24" s="11" t="s">
        <v>125</v>
      </c>
      <c r="B24" s="17">
        <v>185949</v>
      </c>
      <c r="C24" s="17">
        <v>0</v>
      </c>
      <c r="D24" s="17">
        <v>184189</v>
      </c>
      <c r="E24" s="17">
        <v>184189</v>
      </c>
      <c r="F24" s="17">
        <v>184401</v>
      </c>
      <c r="G24" s="18">
        <f>IF(AND(F69&lt;&gt;0,184401&lt;&gt;0),IF(100*184401/(F69-0)&lt;0.005,"*",100*184401/(F69-0)),0)</f>
        <v>1.9881509433962263</v>
      </c>
    </row>
    <row r="25" spans="1:7" x14ac:dyDescent="0.2">
      <c r="A25" s="11" t="s">
        <v>126</v>
      </c>
      <c r="B25" s="17">
        <v>38146</v>
      </c>
      <c r="C25" s="17">
        <v>0</v>
      </c>
      <c r="D25" s="17">
        <v>36390</v>
      </c>
      <c r="E25" s="17">
        <v>36390</v>
      </c>
      <c r="F25" s="17">
        <v>36534</v>
      </c>
      <c r="G25" s="18">
        <f>IF(AND(F69&lt;&gt;0,36534&lt;&gt;0),IF(100*36534/(F69-0)&lt;0.005,"*",100*36534/(F69-0)),0)</f>
        <v>0.39389757412398924</v>
      </c>
    </row>
    <row r="26" spans="1:7" x14ac:dyDescent="0.2">
      <c r="A26" s="11" t="s">
        <v>127</v>
      </c>
      <c r="B26" s="17">
        <v>102715</v>
      </c>
      <c r="C26" s="17">
        <v>0</v>
      </c>
      <c r="D26" s="17">
        <v>99687</v>
      </c>
      <c r="E26" s="17">
        <v>99687</v>
      </c>
      <c r="F26" s="17">
        <v>100241</v>
      </c>
      <c r="G26" s="18">
        <f>IF(AND(F69&lt;&gt;0,100241&lt;&gt;0),IF(100*100241/(F69-0)&lt;0.005,"*",100*100241/(F69-0)),0)</f>
        <v>1.0807654986522912</v>
      </c>
    </row>
    <row r="27" spans="1:7" x14ac:dyDescent="0.2">
      <c r="A27" s="11" t="s">
        <v>128</v>
      </c>
      <c r="B27" s="17">
        <v>144474</v>
      </c>
      <c r="C27" s="17">
        <v>0</v>
      </c>
      <c r="D27" s="17">
        <v>140358</v>
      </c>
      <c r="E27" s="17">
        <v>140358</v>
      </c>
      <c r="F27" s="17">
        <v>140778</v>
      </c>
      <c r="G27" s="18">
        <f>IF(AND(F69&lt;&gt;0,140778&lt;&gt;0),IF(100*140778/(F69-0)&lt;0.005,"*",100*140778/(F69-0)),0)</f>
        <v>1.517822102425876</v>
      </c>
    </row>
    <row r="28" spans="1:7" x14ac:dyDescent="0.2">
      <c r="A28" s="11" t="s">
        <v>129</v>
      </c>
      <c r="B28" s="17">
        <v>330108</v>
      </c>
      <c r="C28" s="17">
        <v>0</v>
      </c>
      <c r="D28" s="17">
        <v>316756</v>
      </c>
      <c r="E28" s="17">
        <v>316756</v>
      </c>
      <c r="F28" s="17">
        <v>316892</v>
      </c>
      <c r="G28" s="18">
        <f>IF(AND(F69&lt;&gt;0,316892&lt;&gt;0),IF(100*316892/(F69-0)&lt;0.005,"*",100*316892/(F69-0)),0)</f>
        <v>3.4166253369272237</v>
      </c>
    </row>
    <row r="29" spans="1:7" x14ac:dyDescent="0.2">
      <c r="A29" s="11" t="s">
        <v>130</v>
      </c>
      <c r="B29" s="17">
        <v>107292</v>
      </c>
      <c r="C29" s="17">
        <v>0</v>
      </c>
      <c r="D29" s="17">
        <v>100391</v>
      </c>
      <c r="E29" s="17">
        <v>100391</v>
      </c>
      <c r="F29" s="17">
        <v>100661</v>
      </c>
      <c r="G29" s="18">
        <f>IF(AND(F69&lt;&gt;0,100661&lt;&gt;0),IF(100*100661/(F69-0)&lt;0.005,"*",100*100661/(F69-0)),0)</f>
        <v>1.0852938005390835</v>
      </c>
    </row>
    <row r="30" spans="1:7" x14ac:dyDescent="0.2">
      <c r="A30" s="11" t="s">
        <v>131</v>
      </c>
      <c r="B30" s="17">
        <v>206712</v>
      </c>
      <c r="C30" s="17">
        <v>0</v>
      </c>
      <c r="D30" s="17">
        <v>200821</v>
      </c>
      <c r="E30" s="17">
        <v>200821</v>
      </c>
      <c r="F30" s="17">
        <v>201789</v>
      </c>
      <c r="G30" s="18">
        <f>IF(AND(F69&lt;&gt;0,201789&lt;&gt;0),IF(100*201789/(F69-0)&lt;0.005,"*",100*201789/(F69-0)),0)</f>
        <v>2.1756226415094337</v>
      </c>
    </row>
    <row r="31" spans="1:7" x14ac:dyDescent="0.2">
      <c r="A31" s="11" t="s">
        <v>132</v>
      </c>
      <c r="B31" s="17">
        <v>169331</v>
      </c>
      <c r="C31" s="17">
        <v>0</v>
      </c>
      <c r="D31" s="17">
        <v>164132</v>
      </c>
      <c r="E31" s="17">
        <v>164132</v>
      </c>
      <c r="F31" s="17">
        <v>164163</v>
      </c>
      <c r="G31" s="18">
        <f>IF(AND(F69&lt;&gt;0,164163&lt;&gt;0),IF(100*164163/(F69-0)&lt;0.005,"*",100*164163/(F69-0)),0)</f>
        <v>1.7699514824797844</v>
      </c>
    </row>
    <row r="32" spans="1:7" x14ac:dyDescent="0.2">
      <c r="A32" s="11" t="s">
        <v>133</v>
      </c>
      <c r="B32" s="17">
        <v>33966</v>
      </c>
      <c r="C32" s="17">
        <v>0</v>
      </c>
      <c r="D32" s="17">
        <v>31884</v>
      </c>
      <c r="E32" s="17">
        <v>31884</v>
      </c>
      <c r="F32" s="17">
        <v>31675</v>
      </c>
      <c r="G32" s="18">
        <f>IF(AND(F69&lt;&gt;0,31675&lt;&gt;0),IF(100*31675/(F69-0)&lt;0.005,"*",100*31675/(F69-0)),0)</f>
        <v>0.34150943396226413</v>
      </c>
    </row>
    <row r="33" spans="1:7" x14ac:dyDescent="0.2">
      <c r="A33" s="11" t="s">
        <v>134</v>
      </c>
      <c r="B33" s="17">
        <v>51443</v>
      </c>
      <c r="C33" s="17">
        <v>0</v>
      </c>
      <c r="D33" s="17">
        <v>49509</v>
      </c>
      <c r="E33" s="17">
        <v>49509</v>
      </c>
      <c r="F33" s="17">
        <v>49586</v>
      </c>
      <c r="G33" s="18">
        <f>IF(AND(F69&lt;&gt;0,49586&lt;&gt;0),IF(100*49586/(F69-0)&lt;0.005,"*",100*49586/(F69-0)),0)</f>
        <v>0.5346199460916442</v>
      </c>
    </row>
    <row r="34" spans="1:7" x14ac:dyDescent="0.2">
      <c r="A34" s="11" t="s">
        <v>135</v>
      </c>
      <c r="B34" s="17">
        <v>38867</v>
      </c>
      <c r="C34" s="17">
        <v>0</v>
      </c>
      <c r="D34" s="17">
        <v>37821</v>
      </c>
      <c r="E34" s="17">
        <v>37821</v>
      </c>
      <c r="F34" s="17">
        <v>37396</v>
      </c>
      <c r="G34" s="18">
        <f>IF(AND(F69&lt;&gt;0,37396&lt;&gt;0),IF(100*37396/(F69-0)&lt;0.005,"*",100*37396/(F69-0)),0)</f>
        <v>0.40319137466307275</v>
      </c>
    </row>
    <row r="35" spans="1:7" x14ac:dyDescent="0.2">
      <c r="A35" s="11" t="s">
        <v>136</v>
      </c>
      <c r="B35" s="17">
        <v>19648</v>
      </c>
      <c r="C35" s="17">
        <v>0</v>
      </c>
      <c r="D35" s="17">
        <v>18278</v>
      </c>
      <c r="E35" s="17">
        <v>18278</v>
      </c>
      <c r="F35" s="17">
        <v>18362</v>
      </c>
      <c r="G35" s="18">
        <f>IF(AND(F69&lt;&gt;0,18362&lt;&gt;0),IF(100*18362/(F69-0)&lt;0.005,"*",100*18362/(F69-0)),0)</f>
        <v>0.19797304582210243</v>
      </c>
    </row>
    <row r="36" spans="1:7" x14ac:dyDescent="0.2">
      <c r="A36" s="11" t="s">
        <v>137</v>
      </c>
      <c r="B36" s="17">
        <v>168841</v>
      </c>
      <c r="C36" s="17">
        <v>0</v>
      </c>
      <c r="D36" s="17">
        <v>168204</v>
      </c>
      <c r="E36" s="17">
        <v>168204</v>
      </c>
      <c r="F36" s="17">
        <v>168334</v>
      </c>
      <c r="G36" s="18">
        <f>IF(AND(F69&lt;&gt;0,168334&lt;&gt;0),IF(100*168334/(F69-0)&lt;0.005,"*",100*168334/(F69-0)),0)</f>
        <v>1.814921832884097</v>
      </c>
    </row>
    <row r="37" spans="1:7" x14ac:dyDescent="0.2">
      <c r="A37" s="11" t="s">
        <v>138</v>
      </c>
      <c r="B37" s="17">
        <v>69113</v>
      </c>
      <c r="C37" s="17">
        <v>0</v>
      </c>
      <c r="D37" s="17">
        <v>67862</v>
      </c>
      <c r="E37" s="17">
        <v>67862</v>
      </c>
      <c r="F37" s="17">
        <v>68118</v>
      </c>
      <c r="G37" s="18">
        <f>IF(AND(F69&lt;&gt;0,68118&lt;&gt;0),IF(100*68118/(F69-0)&lt;0.005,"*",100*68118/(F69-0)),0)</f>
        <v>0.73442587601078169</v>
      </c>
    </row>
    <row r="38" spans="1:7" x14ac:dyDescent="0.2">
      <c r="A38" s="11" t="s">
        <v>139</v>
      </c>
      <c r="B38" s="17">
        <v>555545</v>
      </c>
      <c r="C38" s="17">
        <v>0</v>
      </c>
      <c r="D38" s="17">
        <v>550627</v>
      </c>
      <c r="E38" s="17">
        <v>550627</v>
      </c>
      <c r="F38" s="17">
        <v>552337</v>
      </c>
      <c r="G38" s="18">
        <f>IF(AND(F69&lt;&gt;0,552337&lt;&gt;0),IF(100*552337/(F69-0)&lt;0.005,"*",100*552337/(F69-0)),0)</f>
        <v>5.9551159029649599</v>
      </c>
    </row>
    <row r="39" spans="1:7" x14ac:dyDescent="0.2">
      <c r="A39" s="11" t="s">
        <v>140</v>
      </c>
      <c r="B39" s="17">
        <v>209945</v>
      </c>
      <c r="C39" s="17">
        <v>0</v>
      </c>
      <c r="D39" s="17">
        <v>207649</v>
      </c>
      <c r="E39" s="17">
        <v>207649</v>
      </c>
      <c r="F39" s="17">
        <v>206406</v>
      </c>
      <c r="G39" s="18">
        <f>IF(AND(F69&lt;&gt;0,206406&lt;&gt;0),IF(100*206406/(F69-0)&lt;0.005,"*",100*206406/(F69-0)),0)</f>
        <v>2.2254016172506739</v>
      </c>
    </row>
    <row r="40" spans="1:7" x14ac:dyDescent="0.2">
      <c r="A40" s="11" t="s">
        <v>141</v>
      </c>
      <c r="B40" s="17">
        <v>22224</v>
      </c>
      <c r="C40" s="17">
        <v>0</v>
      </c>
      <c r="D40" s="17">
        <v>21987</v>
      </c>
      <c r="E40" s="17">
        <v>21987</v>
      </c>
      <c r="F40" s="17">
        <v>22090</v>
      </c>
      <c r="G40" s="18">
        <f>IF(AND(F69&lt;&gt;0,22090&lt;&gt;0),IF(100*22090/(F69-0)&lt;0.005,"*",100*22090/(F69-0)),0)</f>
        <v>0.23816711590296497</v>
      </c>
    </row>
    <row r="41" spans="1:7" x14ac:dyDescent="0.2">
      <c r="A41" s="11" t="s">
        <v>142</v>
      </c>
      <c r="B41" s="17">
        <v>345844</v>
      </c>
      <c r="C41" s="17">
        <v>0</v>
      </c>
      <c r="D41" s="17">
        <v>332283</v>
      </c>
      <c r="E41" s="17">
        <v>332283</v>
      </c>
      <c r="F41" s="17">
        <v>333221</v>
      </c>
      <c r="G41" s="18">
        <f>IF(AND(F69&lt;&gt;0,333221&lt;&gt;0),IF(100*333221/(F69-0)&lt;0.005,"*",100*333221/(F69-0)),0)</f>
        <v>3.5926792452830187</v>
      </c>
    </row>
    <row r="42" spans="1:7" x14ac:dyDescent="0.2">
      <c r="A42" s="11" t="s">
        <v>143</v>
      </c>
      <c r="B42" s="17">
        <v>118344</v>
      </c>
      <c r="C42" s="17">
        <v>0</v>
      </c>
      <c r="D42" s="17">
        <v>116896</v>
      </c>
      <c r="E42" s="17">
        <v>116896</v>
      </c>
      <c r="F42" s="17">
        <v>116395</v>
      </c>
      <c r="G42" s="18">
        <f>IF(AND(F69&lt;&gt;0,116395&lt;&gt;0),IF(100*116395/(F69-0)&lt;0.005,"*",100*116395/(F69-0)),0)</f>
        <v>1.254932614555256</v>
      </c>
    </row>
    <row r="43" spans="1:7" x14ac:dyDescent="0.2">
      <c r="A43" s="11" t="s">
        <v>144</v>
      </c>
      <c r="B43" s="17">
        <v>96695</v>
      </c>
      <c r="C43" s="17">
        <v>0</v>
      </c>
      <c r="D43" s="17">
        <v>89019</v>
      </c>
      <c r="E43" s="17">
        <v>89019</v>
      </c>
      <c r="F43" s="17">
        <v>89010</v>
      </c>
      <c r="G43" s="18">
        <f>IF(AND(F69&lt;&gt;0,89010&lt;&gt;0),IF(100*89010/(F69-0)&lt;0.005,"*",100*89010/(F69-0)),0)</f>
        <v>0.9596765498652291</v>
      </c>
    </row>
    <row r="44" spans="1:7" x14ac:dyDescent="0.2">
      <c r="A44" s="11" t="s">
        <v>145</v>
      </c>
      <c r="B44" s="17">
        <v>317665</v>
      </c>
      <c r="C44" s="17">
        <v>0</v>
      </c>
      <c r="D44" s="17">
        <v>307165</v>
      </c>
      <c r="E44" s="17">
        <v>307165</v>
      </c>
      <c r="F44" s="17">
        <v>307449</v>
      </c>
      <c r="G44" s="18">
        <f>IF(AND(F69&lt;&gt;0,307449&lt;&gt;0),IF(100*307449/(F69-0)&lt;0.005,"*",100*307449/(F69-0)),0)</f>
        <v>3.3148140161725066</v>
      </c>
    </row>
    <row r="45" spans="1:7" x14ac:dyDescent="0.2">
      <c r="A45" s="11" t="s">
        <v>146</v>
      </c>
      <c r="B45" s="17">
        <v>31405</v>
      </c>
      <c r="C45" s="17">
        <v>0</v>
      </c>
      <c r="D45" s="17">
        <v>29708</v>
      </c>
      <c r="E45" s="17">
        <v>29708</v>
      </c>
      <c r="F45" s="17">
        <v>29775</v>
      </c>
      <c r="G45" s="18">
        <f>IF(AND(F69&lt;&gt;0,29775&lt;&gt;0),IF(100*29775/(F69-0)&lt;0.005,"*",100*29775/(F69-0)),0)</f>
        <v>0.32102425876010782</v>
      </c>
    </row>
    <row r="46" spans="1:7" x14ac:dyDescent="0.2">
      <c r="A46" s="11" t="s">
        <v>147</v>
      </c>
      <c r="B46" s="17">
        <v>116002</v>
      </c>
      <c r="C46" s="17">
        <v>0</v>
      </c>
      <c r="D46" s="17">
        <v>114897</v>
      </c>
      <c r="E46" s="17">
        <v>114897</v>
      </c>
      <c r="F46" s="17">
        <v>114578</v>
      </c>
      <c r="G46" s="18">
        <f>IF(AND(F69&lt;&gt;0,114578&lt;&gt;0),IF(100*114578/(F69-0)&lt;0.005,"*",100*114578/(F69-0)),0)</f>
        <v>1.2353423180592993</v>
      </c>
    </row>
    <row r="47" spans="1:7" x14ac:dyDescent="0.2">
      <c r="A47" s="11" t="s">
        <v>148</v>
      </c>
      <c r="B47" s="17">
        <v>25972</v>
      </c>
      <c r="C47" s="17">
        <v>0</v>
      </c>
      <c r="D47" s="17">
        <v>24660</v>
      </c>
      <c r="E47" s="17">
        <v>24660</v>
      </c>
      <c r="F47" s="17">
        <v>24791</v>
      </c>
      <c r="G47" s="18">
        <f>IF(AND(F69&lt;&gt;0,24791&lt;&gt;0),IF(100*24791/(F69-0)&lt;0.005,"*",100*24791/(F69-0)),0)</f>
        <v>0.26728840970350404</v>
      </c>
    </row>
    <row r="48" spans="1:7" x14ac:dyDescent="0.2">
      <c r="A48" s="11" t="s">
        <v>149</v>
      </c>
      <c r="B48" s="17">
        <v>162676</v>
      </c>
      <c r="C48" s="17">
        <v>0</v>
      </c>
      <c r="D48" s="17">
        <v>157288</v>
      </c>
      <c r="E48" s="17">
        <v>157288</v>
      </c>
      <c r="F48" s="17">
        <v>157512</v>
      </c>
      <c r="G48" s="18">
        <f>IF(AND(F69&lt;&gt;0,157512&lt;&gt;0),IF(100*157512/(F69-0)&lt;0.005,"*",100*157512/(F69-0)),0)</f>
        <v>1.6982425876010783</v>
      </c>
    </row>
    <row r="49" spans="1:7" x14ac:dyDescent="0.2">
      <c r="A49" s="11" t="s">
        <v>150</v>
      </c>
      <c r="B49" s="17">
        <v>626118</v>
      </c>
      <c r="C49" s="17">
        <v>0</v>
      </c>
      <c r="D49" s="17">
        <v>624168</v>
      </c>
      <c r="E49" s="17">
        <v>624168</v>
      </c>
      <c r="F49" s="17">
        <v>625202</v>
      </c>
      <c r="G49" s="18">
        <f>IF(AND(F69&lt;&gt;0,625202&lt;&gt;0),IF(100*625202/(F69-0)&lt;0.005,"*",100*625202/(F69-0)),0)</f>
        <v>6.7407223719676548</v>
      </c>
    </row>
    <row r="50" spans="1:7" x14ac:dyDescent="0.2">
      <c r="A50" s="11" t="s">
        <v>151</v>
      </c>
      <c r="B50" s="17">
        <v>68432</v>
      </c>
      <c r="C50" s="17">
        <v>0</v>
      </c>
      <c r="D50" s="17">
        <v>59892</v>
      </c>
      <c r="E50" s="17">
        <v>59892</v>
      </c>
      <c r="F50" s="17">
        <v>59981</v>
      </c>
      <c r="G50" s="18">
        <f>IF(AND(F69&lt;&gt;0,59981&lt;&gt;0),IF(100*59981/(F69-0)&lt;0.005,"*",100*59981/(F69-0)),0)</f>
        <v>0.64669541778975737</v>
      </c>
    </row>
    <row r="51" spans="1:7" x14ac:dyDescent="0.2">
      <c r="A51" s="11" t="s">
        <v>152</v>
      </c>
      <c r="B51" s="17">
        <v>20595</v>
      </c>
      <c r="C51" s="17">
        <v>0</v>
      </c>
      <c r="D51" s="17">
        <v>19511</v>
      </c>
      <c r="E51" s="17">
        <v>19511</v>
      </c>
      <c r="F51" s="17">
        <v>19407</v>
      </c>
      <c r="G51" s="18">
        <f>IF(AND(F69&lt;&gt;0,19407&lt;&gt;0),IF(100*19407/(F69-0)&lt;0.005,"*",100*19407/(F69-0)),0)</f>
        <v>0.20923989218328842</v>
      </c>
    </row>
    <row r="52" spans="1:7" x14ac:dyDescent="0.2">
      <c r="A52" s="11" t="s">
        <v>153</v>
      </c>
      <c r="B52" s="17">
        <v>137754</v>
      </c>
      <c r="C52" s="17">
        <v>0</v>
      </c>
      <c r="D52" s="17">
        <v>133472</v>
      </c>
      <c r="E52" s="17">
        <v>133472</v>
      </c>
      <c r="F52" s="17">
        <v>133726</v>
      </c>
      <c r="G52" s="18">
        <f>IF(AND(F69&lt;&gt;0,133726&lt;&gt;0),IF(100*133726/(F69-0)&lt;0.005,"*",100*133726/(F69-0)),0)</f>
        <v>1.441789757412399</v>
      </c>
    </row>
    <row r="53" spans="1:7" x14ac:dyDescent="0.2">
      <c r="A53" s="11" t="s">
        <v>154</v>
      </c>
      <c r="B53" s="17">
        <v>151504</v>
      </c>
      <c r="C53" s="17">
        <v>0</v>
      </c>
      <c r="D53" s="17">
        <v>143418</v>
      </c>
      <c r="E53" s="17">
        <v>143418</v>
      </c>
      <c r="F53" s="17">
        <v>143503</v>
      </c>
      <c r="G53" s="18">
        <f>IF(AND(F69&lt;&gt;0,143503&lt;&gt;0),IF(100*143503/(F69-0)&lt;0.005,"*",100*143503/(F69-0)),0)</f>
        <v>1.5472021563342317</v>
      </c>
    </row>
    <row r="54" spans="1:7" x14ac:dyDescent="0.2">
      <c r="A54" s="11" t="s">
        <v>155</v>
      </c>
      <c r="B54" s="17">
        <v>66718</v>
      </c>
      <c r="C54" s="17">
        <v>0</v>
      </c>
      <c r="D54" s="17">
        <v>65356</v>
      </c>
      <c r="E54" s="17">
        <v>65356</v>
      </c>
      <c r="F54" s="17">
        <v>65622</v>
      </c>
      <c r="G54" s="18">
        <f>IF(AND(F69&lt;&gt;0,65622&lt;&gt;0),IF(100*65622/(F69-0)&lt;0.005,"*",100*65622/(F69-0)),0)</f>
        <v>0.70751482479784367</v>
      </c>
    </row>
    <row r="55" spans="1:7" x14ac:dyDescent="0.2">
      <c r="A55" s="11" t="s">
        <v>156</v>
      </c>
      <c r="B55" s="17">
        <v>135610</v>
      </c>
      <c r="C55" s="17">
        <v>0</v>
      </c>
      <c r="D55" s="17">
        <v>127931</v>
      </c>
      <c r="E55" s="17">
        <v>127931</v>
      </c>
      <c r="F55" s="17">
        <v>127917</v>
      </c>
      <c r="G55" s="18">
        <f>IF(AND(F69&lt;&gt;0,127917&lt;&gt;0),IF(100*127917/(F69-0)&lt;0.005,"*",100*127917/(F69-0)),0)</f>
        <v>1.3791590296495957</v>
      </c>
    </row>
    <row r="56" spans="1:7" x14ac:dyDescent="0.2">
      <c r="A56" s="11" t="s">
        <v>157</v>
      </c>
      <c r="B56" s="17">
        <v>20178</v>
      </c>
      <c r="C56" s="17">
        <v>0</v>
      </c>
      <c r="D56" s="17">
        <v>17511</v>
      </c>
      <c r="E56" s="17">
        <v>17511</v>
      </c>
      <c r="F56" s="17">
        <v>17576</v>
      </c>
      <c r="G56" s="18">
        <f>IF(AND(F69&lt;&gt;0,17576&lt;&gt;0),IF(100*17576/(F69-0)&lt;0.005,"*",100*17576/(F69-0)),0)</f>
        <v>0.18949865229110513</v>
      </c>
    </row>
    <row r="57" spans="1:7" x14ac:dyDescent="0.2">
      <c r="A57" s="11" t="s">
        <v>158</v>
      </c>
      <c r="B57" s="17">
        <v>4947</v>
      </c>
      <c r="C57" s="17">
        <v>0</v>
      </c>
      <c r="D57" s="17">
        <v>3659</v>
      </c>
      <c r="E57" s="17">
        <v>3659</v>
      </c>
      <c r="F57" s="17">
        <v>3694</v>
      </c>
      <c r="G57" s="18">
        <f>IF(AND(F69&lt;&gt;0,3694&lt;&gt;0),IF(100*3694/(F69-0)&lt;0.005,"*",100*3694/(F69-0)),0)</f>
        <v>3.9827493261455522E-2</v>
      </c>
    </row>
    <row r="58" spans="1:7" x14ac:dyDescent="0.2">
      <c r="A58" s="11" t="s">
        <v>159</v>
      </c>
      <c r="B58" s="17">
        <v>3372</v>
      </c>
      <c r="C58" s="17">
        <v>0</v>
      </c>
      <c r="D58" s="17">
        <v>2979</v>
      </c>
      <c r="E58" s="17">
        <v>2979</v>
      </c>
      <c r="F58" s="17">
        <v>3007</v>
      </c>
      <c r="G58" s="18">
        <f>IF(AND(F69&lt;&gt;0,3007&lt;&gt;0),IF(100*3007/(F69-0)&lt;0.005,"*",100*3007/(F69-0)),0)</f>
        <v>3.2420485175202157E-2</v>
      </c>
    </row>
    <row r="59" spans="1:7" x14ac:dyDescent="0.2">
      <c r="A59" s="11" t="s">
        <v>160</v>
      </c>
      <c r="B59" s="17">
        <v>3650</v>
      </c>
      <c r="C59" s="17">
        <v>0</v>
      </c>
      <c r="D59" s="17">
        <v>3249</v>
      </c>
      <c r="E59" s="17">
        <v>3249</v>
      </c>
      <c r="F59" s="17">
        <v>3175</v>
      </c>
      <c r="G59" s="18">
        <f>IF(AND(F69&lt;&gt;0,3175&lt;&gt;0),IF(100*3175/(F69-0)&lt;0.005,"*",100*3175/(F69-0)),0)</f>
        <v>3.4231805929919139E-2</v>
      </c>
    </row>
    <row r="60" spans="1:7" x14ac:dyDescent="0.2">
      <c r="A60" s="11" t="s">
        <v>161</v>
      </c>
      <c r="B60" s="17">
        <v>294933</v>
      </c>
      <c r="C60" s="17">
        <v>0</v>
      </c>
      <c r="D60" s="17">
        <v>294281</v>
      </c>
      <c r="E60" s="17">
        <v>294281</v>
      </c>
      <c r="F60" s="17">
        <v>295765</v>
      </c>
      <c r="G60" s="18">
        <f>IF(AND(F69&lt;&gt;0,295765&lt;&gt;0),IF(100*295765/(F69-0)&lt;0.005,"*",100*295765/(F69-0)),0)</f>
        <v>3.1888409703504044</v>
      </c>
    </row>
    <row r="61" spans="1:7" x14ac:dyDescent="0.2">
      <c r="A61" s="11" t="s">
        <v>162</v>
      </c>
      <c r="B61" s="17">
        <v>1893</v>
      </c>
      <c r="C61" s="17">
        <v>0</v>
      </c>
      <c r="D61" s="17">
        <v>1679</v>
      </c>
      <c r="E61" s="17">
        <v>1679</v>
      </c>
      <c r="F61" s="17">
        <v>1695</v>
      </c>
      <c r="G61" s="18">
        <f>IF(AND(F69&lt;&gt;0,1695&lt;&gt;0),IF(100*1695/(F69-0)&lt;0.005,"*",100*1695/(F69-0)),0)</f>
        <v>1.8274932614555255E-2</v>
      </c>
    </row>
    <row r="62" spans="1:7" x14ac:dyDescent="0.2">
      <c r="A62" s="11" t="s">
        <v>163</v>
      </c>
      <c r="B62" s="17">
        <v>9892</v>
      </c>
      <c r="C62" s="17">
        <v>0</v>
      </c>
      <c r="D62" s="17">
        <v>9854</v>
      </c>
      <c r="E62" s="17">
        <v>9854</v>
      </c>
      <c r="F62" s="17">
        <v>9946</v>
      </c>
      <c r="G62" s="18">
        <f>IF(AND(F69&lt;&gt;0,9946&lt;&gt;0),IF(100*9946/(F69-0)&lt;0.005,"*",100*9946/(F69-0)),0)</f>
        <v>0.1072345013477089</v>
      </c>
    </row>
    <row r="63" spans="1:7" x14ac:dyDescent="0.2">
      <c r="A63" s="11" t="s">
        <v>164</v>
      </c>
      <c r="B63" s="17">
        <v>266318</v>
      </c>
      <c r="C63" s="17">
        <v>0</v>
      </c>
      <c r="D63" s="17">
        <v>254897</v>
      </c>
      <c r="E63" s="17">
        <v>254897</v>
      </c>
      <c r="F63" s="17">
        <v>255091</v>
      </c>
      <c r="G63" s="18">
        <f>IF(AND(F69&lt;&gt;0,255091&lt;&gt;0),IF(100*255091/(F69-0)&lt;0.005,"*",100*255091/(F69-0)),0)</f>
        <v>2.7503072776280324</v>
      </c>
    </row>
    <row r="64" spans="1:7" x14ac:dyDescent="0.2">
      <c r="A64" s="11" t="s">
        <v>165</v>
      </c>
      <c r="B64" s="17">
        <v>0</v>
      </c>
      <c r="C64" s="17">
        <v>0</v>
      </c>
      <c r="D64" s="17">
        <v>0</v>
      </c>
      <c r="E64" s="17">
        <v>0</v>
      </c>
      <c r="F64" s="17">
        <v>0</v>
      </c>
      <c r="G64" s="18">
        <v>0</v>
      </c>
    </row>
    <row r="65" spans="1:7" x14ac:dyDescent="0.2">
      <c r="A65" s="11" t="s">
        <v>215</v>
      </c>
      <c r="B65" s="17">
        <v>395219</v>
      </c>
      <c r="C65" s="17">
        <v>0</v>
      </c>
      <c r="D65" s="17">
        <v>383873</v>
      </c>
      <c r="E65" s="17">
        <v>383873</v>
      </c>
      <c r="F65" s="17">
        <v>384739</v>
      </c>
      <c r="G65" s="18">
        <f>IF(AND(F69&lt;&gt;0,384739&lt;&gt;0),IF(100*384739/(F69-0)&lt;0.005,"*",100*384739/(F69-0)),0)</f>
        <v>4.1481293800539083</v>
      </c>
    </row>
    <row r="66" spans="1:7" x14ac:dyDescent="0.2">
      <c r="A66" s="11" t="s">
        <v>206</v>
      </c>
      <c r="B66" s="17">
        <v>223706</v>
      </c>
      <c r="C66" s="17">
        <v>0</v>
      </c>
      <c r="D66" s="17">
        <v>222932</v>
      </c>
      <c r="E66" s="17">
        <v>222932</v>
      </c>
      <c r="F66" s="17">
        <v>221402</v>
      </c>
      <c r="G66" s="18">
        <f>IF(AND(F69&lt;&gt;0,221402&lt;&gt;0),IF(100*221402/(F69-0)&lt;0.005,"*",100*221402/(F69-0)),0)</f>
        <v>2.3870835579514824</v>
      </c>
    </row>
    <row r="67" spans="1:7" ht="15" x14ac:dyDescent="0.2">
      <c r="A67" s="11" t="s">
        <v>209</v>
      </c>
      <c r="B67" s="23" t="s">
        <v>216</v>
      </c>
      <c r="C67" s="17">
        <v>0</v>
      </c>
      <c r="D67" s="23" t="s">
        <v>217</v>
      </c>
      <c r="E67" s="17">
        <v>24830</v>
      </c>
      <c r="F67" s="23" t="s">
        <v>218</v>
      </c>
      <c r="G67" s="18">
        <f>IF(AND(F69&lt;&gt;0,25000&lt;&gt;0),IF(100*25000/(F69-0)&lt;0.005,"*",100*25000/(F69-0)),0)</f>
        <v>0.26954177897574122</v>
      </c>
    </row>
    <row r="68" spans="1:7" x14ac:dyDescent="0.2">
      <c r="A68" s="11" t="s">
        <v>184</v>
      </c>
      <c r="B68" s="17">
        <v>102659</v>
      </c>
      <c r="C68" s="17">
        <v>0</v>
      </c>
      <c r="D68" s="17">
        <v>106429</v>
      </c>
      <c r="E68" s="17">
        <v>106429</v>
      </c>
      <c r="F68" s="17">
        <v>103385</v>
      </c>
      <c r="G68" s="18">
        <f>IF(AND(F69&lt;&gt;0,103385&lt;&gt;0),IF(100*103385/(F69-0)&lt;0.005,"*",100*103385/(F69-0)),0)</f>
        <v>1.1146630727762803</v>
      </c>
    </row>
    <row r="69" spans="1:7" ht="15" customHeight="1" x14ac:dyDescent="0.2">
      <c r="A69" s="19" t="s">
        <v>106</v>
      </c>
      <c r="B69" s="20" t="s">
        <v>432</v>
      </c>
      <c r="C69" s="20">
        <f>0+0+0+0+0+0+0+0+0+0+0+0+0+0+0+0+0+0+0+0+0+0+0+0+0+0+0+0+0+0+0+0+0+0+0+0+0+0+0+0+0+0+0+0+0+0+0+0+0+0+0+0+0+0+0+0+0+0+0+0+0+0+0+0</f>
        <v>0</v>
      </c>
      <c r="D69" s="20" t="s">
        <v>433</v>
      </c>
      <c r="E69" s="20" t="s">
        <v>433</v>
      </c>
      <c r="F69" s="20">
        <f>140183+16806+148665+91583+1147283+101403+65271+19366+31802+369450+230590+28264+32390+354932+134819+67314+70199+152353+184401+36534+100241+140778+316892+100661+201789+164163+31675+49586+37396+18362+168334+68118+552337+206406+22090+333221+116395+89010+307449+29775+114578+24791+157512+625202+59981+19407+133726+143503+65622+127917+17576+3694+3007+3175+295765+1695+9946+255091+0+384739+221402+25000+103385+0</f>
        <v>9275000</v>
      </c>
      <c r="G69" s="21" t="s">
        <v>197</v>
      </c>
    </row>
    <row r="70" spans="1:7" ht="31.5" customHeight="1" x14ac:dyDescent="0.2">
      <c r="A70" s="73" t="s">
        <v>430</v>
      </c>
      <c r="B70" s="73"/>
      <c r="C70" s="73"/>
      <c r="D70" s="73"/>
      <c r="E70" s="73"/>
      <c r="F70" s="73"/>
      <c r="G70" s="73"/>
    </row>
    <row r="71" spans="1:7" ht="18.600000000000001" customHeight="1" x14ac:dyDescent="0.2">
      <c r="A71" s="65" t="s">
        <v>220</v>
      </c>
      <c r="B71" s="65"/>
      <c r="C71" s="65"/>
      <c r="D71" s="65"/>
      <c r="E71" s="65"/>
      <c r="F71" s="65"/>
      <c r="G71" s="65"/>
    </row>
    <row r="72" spans="1:7" ht="44.1" customHeight="1" x14ac:dyDescent="0.2">
      <c r="A72" s="73" t="s">
        <v>431</v>
      </c>
      <c r="B72" s="73"/>
      <c r="C72" s="73"/>
      <c r="D72" s="73"/>
      <c r="E72" s="73"/>
      <c r="F72" s="73"/>
      <c r="G72" s="73"/>
    </row>
    <row r="73" spans="1:7" ht="18" customHeight="1" x14ac:dyDescent="0.2">
      <c r="A73" s="73" t="s">
        <v>434</v>
      </c>
      <c r="B73" s="73"/>
      <c r="C73" s="73"/>
      <c r="D73" s="73"/>
      <c r="E73" s="73"/>
      <c r="F73" s="73"/>
      <c r="G73" s="73"/>
    </row>
    <row r="74" spans="1:7" ht="15" customHeight="1" x14ac:dyDescent="0.2">
      <c r="A74" s="65" t="s">
        <v>435</v>
      </c>
      <c r="B74" s="65"/>
      <c r="C74" s="65"/>
      <c r="D74" s="65"/>
      <c r="E74" s="65"/>
      <c r="F74" s="65"/>
      <c r="G74" s="65"/>
    </row>
  </sheetData>
  <mergeCells count="9">
    <mergeCell ref="A73:G73"/>
    <mergeCell ref="A71:G71"/>
    <mergeCell ref="A74:G74"/>
    <mergeCell ref="A70:G70"/>
    <mergeCell ref="A4:A5"/>
    <mergeCell ref="B4:B5"/>
    <mergeCell ref="F4:F5"/>
    <mergeCell ref="G4:G5"/>
    <mergeCell ref="A72:G72"/>
  </mergeCells>
  <pageMargins left="0.7" right="0.7" top="0.75" bottom="0.75" header="0.3" footer="0.3"/>
  <pageSetup scale="6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222</v>
      </c>
    </row>
    <row r="2" spans="1:7" x14ac:dyDescent="0.2">
      <c r="A2" s="13" t="s">
        <v>223</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54461</v>
      </c>
      <c r="C6" s="17">
        <v>0</v>
      </c>
      <c r="D6" s="17">
        <v>53569</v>
      </c>
      <c r="E6" s="17">
        <v>53569</v>
      </c>
      <c r="F6" s="17">
        <v>54261</v>
      </c>
      <c r="G6" s="18">
        <v>1.0142242990654207</v>
      </c>
    </row>
    <row r="7" spans="1:7" x14ac:dyDescent="0.2">
      <c r="A7" s="11" t="s">
        <v>108</v>
      </c>
      <c r="B7" s="17">
        <v>25580</v>
      </c>
      <c r="C7" s="17">
        <v>0</v>
      </c>
      <c r="D7" s="17">
        <v>25161</v>
      </c>
      <c r="E7" s="17">
        <v>25161</v>
      </c>
      <c r="F7" s="17">
        <v>25486</v>
      </c>
      <c r="G7" s="18">
        <v>0.47637383177570092</v>
      </c>
    </row>
    <row r="8" spans="1:7" x14ac:dyDescent="0.2">
      <c r="A8" s="11" t="s">
        <v>109</v>
      </c>
      <c r="B8" s="17">
        <v>169443</v>
      </c>
      <c r="C8" s="17">
        <v>0</v>
      </c>
      <c r="D8" s="17">
        <v>166669</v>
      </c>
      <c r="E8" s="17">
        <v>166669</v>
      </c>
      <c r="F8" s="17">
        <v>168822</v>
      </c>
      <c r="G8" s="18">
        <v>3.1555514018691588</v>
      </c>
    </row>
    <row r="9" spans="1:7" x14ac:dyDescent="0.2">
      <c r="A9" s="11" t="s">
        <v>110</v>
      </c>
      <c r="B9" s="17">
        <v>38400</v>
      </c>
      <c r="C9" s="17">
        <v>0</v>
      </c>
      <c r="D9" s="17">
        <v>37771</v>
      </c>
      <c r="E9" s="17">
        <v>37771</v>
      </c>
      <c r="F9" s="17">
        <v>38259</v>
      </c>
      <c r="G9" s="18">
        <v>0.71512149532710279</v>
      </c>
    </row>
    <row r="10" spans="1:7" x14ac:dyDescent="0.2">
      <c r="A10" s="11" t="s">
        <v>111</v>
      </c>
      <c r="B10" s="17">
        <v>1509183</v>
      </c>
      <c r="C10" s="17">
        <v>0</v>
      </c>
      <c r="D10" s="17">
        <v>1484473</v>
      </c>
      <c r="E10" s="17">
        <v>1484473</v>
      </c>
      <c r="F10" s="17">
        <v>1503649</v>
      </c>
      <c r="G10" s="18">
        <v>28.105588785046727</v>
      </c>
    </row>
    <row r="11" spans="1:7" x14ac:dyDescent="0.2">
      <c r="A11" s="11" t="s">
        <v>112</v>
      </c>
      <c r="B11" s="17">
        <v>77916</v>
      </c>
      <c r="C11" s="17">
        <v>0</v>
      </c>
      <c r="D11" s="17">
        <v>76641</v>
      </c>
      <c r="E11" s="17">
        <v>76641</v>
      </c>
      <c r="F11" s="17">
        <v>77631</v>
      </c>
      <c r="G11" s="18">
        <v>1.4510467289719626</v>
      </c>
    </row>
    <row r="12" spans="1:7" x14ac:dyDescent="0.2">
      <c r="A12" s="11" t="s">
        <v>113</v>
      </c>
      <c r="B12" s="17">
        <v>71503</v>
      </c>
      <c r="C12" s="17">
        <v>0</v>
      </c>
      <c r="D12" s="17">
        <v>70332</v>
      </c>
      <c r="E12" s="17">
        <v>70332</v>
      </c>
      <c r="F12" s="17">
        <v>71241</v>
      </c>
      <c r="G12" s="18">
        <v>1.3316074766355139</v>
      </c>
    </row>
    <row r="13" spans="1:7" x14ac:dyDescent="0.2">
      <c r="A13" s="11" t="s">
        <v>114</v>
      </c>
      <c r="B13" s="17">
        <v>7843</v>
      </c>
      <c r="C13" s="17">
        <v>0</v>
      </c>
      <c r="D13" s="17">
        <v>7714</v>
      </c>
      <c r="E13" s="17">
        <v>7714</v>
      </c>
      <c r="F13" s="17">
        <v>7814</v>
      </c>
      <c r="G13" s="18">
        <v>0.14605607476635515</v>
      </c>
    </row>
    <row r="14" spans="1:7" x14ac:dyDescent="0.2">
      <c r="A14" s="11" t="s">
        <v>115</v>
      </c>
      <c r="B14" s="17">
        <v>42469</v>
      </c>
      <c r="C14" s="17">
        <v>0</v>
      </c>
      <c r="D14" s="17">
        <v>41774</v>
      </c>
      <c r="E14" s="17">
        <v>41774</v>
      </c>
      <c r="F14" s="17">
        <v>42314</v>
      </c>
      <c r="G14" s="18">
        <v>0.79091588785046729</v>
      </c>
    </row>
    <row r="15" spans="1:7" x14ac:dyDescent="0.2">
      <c r="A15" s="11" t="s">
        <v>116</v>
      </c>
      <c r="B15" s="17">
        <v>223841</v>
      </c>
      <c r="C15" s="17">
        <v>0</v>
      </c>
      <c r="D15" s="17">
        <v>220177</v>
      </c>
      <c r="E15" s="17">
        <v>220177</v>
      </c>
      <c r="F15" s="17">
        <v>223021</v>
      </c>
      <c r="G15" s="18">
        <v>4.1686168224299065</v>
      </c>
    </row>
    <row r="16" spans="1:7" x14ac:dyDescent="0.2">
      <c r="A16" s="11" t="s">
        <v>117</v>
      </c>
      <c r="B16" s="17">
        <v>87295</v>
      </c>
      <c r="C16" s="17">
        <v>0</v>
      </c>
      <c r="D16" s="17">
        <v>85866</v>
      </c>
      <c r="E16" s="17">
        <v>85866</v>
      </c>
      <c r="F16" s="17">
        <v>86975</v>
      </c>
      <c r="G16" s="18">
        <v>1.6257009345794393</v>
      </c>
    </row>
    <row r="17" spans="1:7" x14ac:dyDescent="0.2">
      <c r="A17" s="11" t="s">
        <v>118</v>
      </c>
      <c r="B17" s="17">
        <v>18512</v>
      </c>
      <c r="C17" s="17">
        <v>0</v>
      </c>
      <c r="D17" s="17">
        <v>18209</v>
      </c>
      <c r="E17" s="17">
        <v>18209</v>
      </c>
      <c r="F17" s="17">
        <v>18444</v>
      </c>
      <c r="G17" s="18">
        <v>0.34474766355140185</v>
      </c>
    </row>
    <row r="18" spans="1:7" x14ac:dyDescent="0.2">
      <c r="A18" s="11" t="s">
        <v>119</v>
      </c>
      <c r="B18" s="17">
        <v>12016</v>
      </c>
      <c r="C18" s="17">
        <v>0</v>
      </c>
      <c r="D18" s="17">
        <v>11820</v>
      </c>
      <c r="E18" s="17">
        <v>11820</v>
      </c>
      <c r="F18" s="17">
        <v>11972</v>
      </c>
      <c r="G18" s="18">
        <v>0.22377570093457944</v>
      </c>
    </row>
    <row r="19" spans="1:7" x14ac:dyDescent="0.2">
      <c r="A19" s="11" t="s">
        <v>120</v>
      </c>
      <c r="B19" s="17">
        <v>198697</v>
      </c>
      <c r="C19" s="17">
        <v>0</v>
      </c>
      <c r="D19" s="17">
        <v>195444</v>
      </c>
      <c r="E19" s="17">
        <v>195444</v>
      </c>
      <c r="F19" s="17">
        <v>197968</v>
      </c>
      <c r="G19" s="18">
        <v>3.7003364485981307</v>
      </c>
    </row>
    <row r="20" spans="1:7" x14ac:dyDescent="0.2">
      <c r="A20" s="11" t="s">
        <v>121</v>
      </c>
      <c r="B20" s="17">
        <v>64220</v>
      </c>
      <c r="C20" s="17">
        <v>0</v>
      </c>
      <c r="D20" s="17">
        <v>63169</v>
      </c>
      <c r="E20" s="17">
        <v>63169</v>
      </c>
      <c r="F20" s="17">
        <v>63985</v>
      </c>
      <c r="G20" s="18">
        <v>1.195981308411215</v>
      </c>
    </row>
    <row r="21" spans="1:7" x14ac:dyDescent="0.2">
      <c r="A21" s="11" t="s">
        <v>122</v>
      </c>
      <c r="B21" s="17">
        <v>18552</v>
      </c>
      <c r="C21" s="17">
        <v>0</v>
      </c>
      <c r="D21" s="17">
        <v>18248</v>
      </c>
      <c r="E21" s="17">
        <v>18248</v>
      </c>
      <c r="F21" s="17">
        <v>18484</v>
      </c>
      <c r="G21" s="18">
        <v>0.34549532710280373</v>
      </c>
    </row>
    <row r="22" spans="1:7" x14ac:dyDescent="0.2">
      <c r="A22" s="11" t="s">
        <v>123</v>
      </c>
      <c r="B22" s="17">
        <v>22666</v>
      </c>
      <c r="C22" s="17">
        <v>0</v>
      </c>
      <c r="D22" s="17">
        <v>22295</v>
      </c>
      <c r="E22" s="17">
        <v>22295</v>
      </c>
      <c r="F22" s="17">
        <v>22583</v>
      </c>
      <c r="G22" s="18">
        <v>0.42211214953271026</v>
      </c>
    </row>
    <row r="23" spans="1:7" x14ac:dyDescent="0.2">
      <c r="A23" s="11" t="s">
        <v>124</v>
      </c>
      <c r="B23" s="17">
        <v>51611</v>
      </c>
      <c r="C23" s="17">
        <v>0</v>
      </c>
      <c r="D23" s="17">
        <v>50766</v>
      </c>
      <c r="E23" s="17">
        <v>50766</v>
      </c>
      <c r="F23" s="17">
        <v>51422</v>
      </c>
      <c r="G23" s="18">
        <v>0.96115887850467285</v>
      </c>
    </row>
    <row r="24" spans="1:7" x14ac:dyDescent="0.2">
      <c r="A24" s="11" t="s">
        <v>125</v>
      </c>
      <c r="B24" s="17">
        <v>34910</v>
      </c>
      <c r="C24" s="17">
        <v>0</v>
      </c>
      <c r="D24" s="17">
        <v>34338</v>
      </c>
      <c r="E24" s="17">
        <v>34338</v>
      </c>
      <c r="F24" s="17">
        <v>34782</v>
      </c>
      <c r="G24" s="18">
        <v>0.65013084112149533</v>
      </c>
    </row>
    <row r="25" spans="1:7" x14ac:dyDescent="0.2">
      <c r="A25" s="11" t="s">
        <v>126</v>
      </c>
      <c r="B25" s="17">
        <v>17986</v>
      </c>
      <c r="C25" s="17">
        <v>0</v>
      </c>
      <c r="D25" s="17">
        <v>17691</v>
      </c>
      <c r="E25" s="17">
        <v>17691</v>
      </c>
      <c r="F25" s="17">
        <v>17920</v>
      </c>
      <c r="G25" s="18">
        <v>0.3349532710280374</v>
      </c>
    </row>
    <row r="26" spans="1:7" x14ac:dyDescent="0.2">
      <c r="A26" s="11" t="s">
        <v>127</v>
      </c>
      <c r="B26" s="17">
        <v>68848</v>
      </c>
      <c r="C26" s="17">
        <v>0</v>
      </c>
      <c r="D26" s="17">
        <v>67721</v>
      </c>
      <c r="E26" s="17">
        <v>67721</v>
      </c>
      <c r="F26" s="17">
        <v>68596</v>
      </c>
      <c r="G26" s="18">
        <v>1.2821682242990655</v>
      </c>
    </row>
    <row r="27" spans="1:7" x14ac:dyDescent="0.2">
      <c r="A27" s="11" t="s">
        <v>128</v>
      </c>
      <c r="B27" s="17">
        <v>134767</v>
      </c>
      <c r="C27" s="17">
        <v>0</v>
      </c>
      <c r="D27" s="17">
        <v>132560</v>
      </c>
      <c r="E27" s="17">
        <v>132560</v>
      </c>
      <c r="F27" s="17">
        <v>134273</v>
      </c>
      <c r="G27" s="18">
        <v>2.5097757009345796</v>
      </c>
    </row>
    <row r="28" spans="1:7" x14ac:dyDescent="0.2">
      <c r="A28" s="11" t="s">
        <v>129</v>
      </c>
      <c r="B28" s="17">
        <v>124327</v>
      </c>
      <c r="C28" s="17">
        <v>0</v>
      </c>
      <c r="D28" s="17">
        <v>122292</v>
      </c>
      <c r="E28" s="17">
        <v>122292</v>
      </c>
      <c r="F28" s="17">
        <v>123871</v>
      </c>
      <c r="G28" s="18">
        <v>2.3153457943925235</v>
      </c>
    </row>
    <row r="29" spans="1:7" x14ac:dyDescent="0.2">
      <c r="A29" s="11" t="s">
        <v>130</v>
      </c>
      <c r="B29" s="17">
        <v>53344</v>
      </c>
      <c r="C29" s="17">
        <v>0</v>
      </c>
      <c r="D29" s="17">
        <v>52471</v>
      </c>
      <c r="E29" s="17">
        <v>52471</v>
      </c>
      <c r="F29" s="17">
        <v>53148</v>
      </c>
      <c r="G29" s="18">
        <v>0.99342056074766361</v>
      </c>
    </row>
    <row r="30" spans="1:7" x14ac:dyDescent="0.2">
      <c r="A30" s="11" t="s">
        <v>131</v>
      </c>
      <c r="B30" s="17">
        <v>26783</v>
      </c>
      <c r="C30" s="17">
        <v>0</v>
      </c>
      <c r="D30" s="17">
        <v>26344</v>
      </c>
      <c r="E30" s="17">
        <v>26344</v>
      </c>
      <c r="F30" s="17">
        <v>26685</v>
      </c>
      <c r="G30" s="18">
        <v>0.49878504672897195</v>
      </c>
    </row>
    <row r="31" spans="1:7" x14ac:dyDescent="0.2">
      <c r="A31" s="11" t="s">
        <v>132</v>
      </c>
      <c r="B31" s="17">
        <v>74837</v>
      </c>
      <c r="C31" s="17">
        <v>0</v>
      </c>
      <c r="D31" s="17">
        <v>73611</v>
      </c>
      <c r="E31" s="17">
        <v>73611</v>
      </c>
      <c r="F31" s="17">
        <v>74562</v>
      </c>
      <c r="G31" s="18">
        <v>1.3936822429906541</v>
      </c>
    </row>
    <row r="32" spans="1:7" x14ac:dyDescent="0.2">
      <c r="A32" s="11" t="s">
        <v>133</v>
      </c>
      <c r="B32" s="17">
        <v>19044</v>
      </c>
      <c r="C32" s="17">
        <v>0</v>
      </c>
      <c r="D32" s="17">
        <v>18732</v>
      </c>
      <c r="E32" s="17">
        <v>18732</v>
      </c>
      <c r="F32" s="17">
        <v>18974</v>
      </c>
      <c r="G32" s="18">
        <v>0.35465420560747662</v>
      </c>
    </row>
    <row r="33" spans="1:7" x14ac:dyDescent="0.2">
      <c r="A33" s="11" t="s">
        <v>134</v>
      </c>
      <c r="B33" s="17">
        <v>19411</v>
      </c>
      <c r="C33" s="17">
        <v>0</v>
      </c>
      <c r="D33" s="17">
        <v>19094</v>
      </c>
      <c r="E33" s="17">
        <v>19094</v>
      </c>
      <c r="F33" s="17">
        <v>19340</v>
      </c>
      <c r="G33" s="18">
        <v>0.36149532710280374</v>
      </c>
    </row>
    <row r="34" spans="1:7" x14ac:dyDescent="0.2">
      <c r="A34" s="11" t="s">
        <v>135</v>
      </c>
      <c r="B34" s="17">
        <v>48836</v>
      </c>
      <c r="C34" s="17">
        <v>0</v>
      </c>
      <c r="D34" s="17">
        <v>48036</v>
      </c>
      <c r="E34" s="17">
        <v>48036</v>
      </c>
      <c r="F34" s="17">
        <v>48657</v>
      </c>
      <c r="G34" s="18">
        <v>0.90947663551401869</v>
      </c>
    </row>
    <row r="35" spans="1:7" x14ac:dyDescent="0.2">
      <c r="A35" s="11" t="s">
        <v>136</v>
      </c>
      <c r="B35" s="17">
        <v>12633</v>
      </c>
      <c r="C35" s="17">
        <v>0</v>
      </c>
      <c r="D35" s="17">
        <v>12427</v>
      </c>
      <c r="E35" s="17">
        <v>12427</v>
      </c>
      <c r="F35" s="17">
        <v>12587</v>
      </c>
      <c r="G35" s="18">
        <v>0.23527102803738317</v>
      </c>
    </row>
    <row r="36" spans="1:7" x14ac:dyDescent="0.2">
      <c r="A36" s="11" t="s">
        <v>137</v>
      </c>
      <c r="B36" s="17">
        <v>93137</v>
      </c>
      <c r="C36" s="17">
        <v>0</v>
      </c>
      <c r="D36" s="17">
        <v>91613</v>
      </c>
      <c r="E36" s="17">
        <v>91613</v>
      </c>
      <c r="F36" s="17">
        <v>92796</v>
      </c>
      <c r="G36" s="18">
        <v>1.7345046728971962</v>
      </c>
    </row>
    <row r="37" spans="1:7" x14ac:dyDescent="0.2">
      <c r="A37" s="11" t="s">
        <v>138</v>
      </c>
      <c r="B37" s="17">
        <v>20873</v>
      </c>
      <c r="C37" s="17">
        <v>0</v>
      </c>
      <c r="D37" s="17">
        <v>20531</v>
      </c>
      <c r="E37" s="17">
        <v>20531</v>
      </c>
      <c r="F37" s="17">
        <v>20796</v>
      </c>
      <c r="G37" s="18">
        <v>0.38871028037383176</v>
      </c>
    </row>
    <row r="38" spans="1:7" x14ac:dyDescent="0.2">
      <c r="A38" s="11" t="s">
        <v>139</v>
      </c>
      <c r="B38" s="17">
        <v>486191</v>
      </c>
      <c r="C38" s="17">
        <v>0</v>
      </c>
      <c r="D38" s="17">
        <v>478229</v>
      </c>
      <c r="E38" s="17">
        <v>478229</v>
      </c>
      <c r="F38" s="17">
        <v>484406</v>
      </c>
      <c r="G38" s="18">
        <v>9.0543177570093452</v>
      </c>
    </row>
    <row r="39" spans="1:7" x14ac:dyDescent="0.2">
      <c r="A39" s="11" t="s">
        <v>140</v>
      </c>
      <c r="B39" s="17">
        <v>98865</v>
      </c>
      <c r="C39" s="17">
        <v>0</v>
      </c>
      <c r="D39" s="17">
        <v>97247</v>
      </c>
      <c r="E39" s="17">
        <v>97247</v>
      </c>
      <c r="F39" s="17">
        <v>98503</v>
      </c>
      <c r="G39" s="18">
        <v>1.8411775700934578</v>
      </c>
    </row>
    <row r="40" spans="1:7" x14ac:dyDescent="0.2">
      <c r="A40" s="11" t="s">
        <v>141</v>
      </c>
      <c r="B40" s="17">
        <v>12601</v>
      </c>
      <c r="C40" s="17">
        <v>0</v>
      </c>
      <c r="D40" s="17">
        <v>12395</v>
      </c>
      <c r="E40" s="17">
        <v>12395</v>
      </c>
      <c r="F40" s="17">
        <v>12555</v>
      </c>
      <c r="G40" s="18">
        <v>0.23467289719626169</v>
      </c>
    </row>
    <row r="41" spans="1:7" x14ac:dyDescent="0.2">
      <c r="A41" s="11" t="s">
        <v>142</v>
      </c>
      <c r="B41" s="17">
        <v>221682</v>
      </c>
      <c r="C41" s="17">
        <v>0</v>
      </c>
      <c r="D41" s="17">
        <v>218052</v>
      </c>
      <c r="E41" s="17">
        <v>218052</v>
      </c>
      <c r="F41" s="17">
        <v>220869</v>
      </c>
      <c r="G41" s="18">
        <v>4.1283925233644858</v>
      </c>
    </row>
    <row r="42" spans="1:7" x14ac:dyDescent="0.2">
      <c r="A42" s="11" t="s">
        <v>143</v>
      </c>
      <c r="B42" s="17">
        <v>57083</v>
      </c>
      <c r="C42" s="17">
        <v>0</v>
      </c>
      <c r="D42" s="17">
        <v>56149</v>
      </c>
      <c r="E42" s="17">
        <v>56149</v>
      </c>
      <c r="F42" s="17">
        <v>56874</v>
      </c>
      <c r="G42" s="18">
        <v>1.0630654205607477</v>
      </c>
    </row>
    <row r="43" spans="1:7" x14ac:dyDescent="0.2">
      <c r="A43" s="11" t="s">
        <v>144</v>
      </c>
      <c r="B43" s="17">
        <v>100926</v>
      </c>
      <c r="C43" s="17">
        <v>0</v>
      </c>
      <c r="D43" s="17">
        <v>99274</v>
      </c>
      <c r="E43" s="17">
        <v>99274</v>
      </c>
      <c r="F43" s="17">
        <v>100556</v>
      </c>
      <c r="G43" s="18">
        <v>1.8795514018691588</v>
      </c>
    </row>
    <row r="44" spans="1:7" x14ac:dyDescent="0.2">
      <c r="A44" s="11" t="s">
        <v>145</v>
      </c>
      <c r="B44" s="17">
        <v>230720</v>
      </c>
      <c r="C44" s="17">
        <v>0</v>
      </c>
      <c r="D44" s="17">
        <v>226942</v>
      </c>
      <c r="E44" s="17">
        <v>226942</v>
      </c>
      <c r="F44" s="17">
        <v>229874</v>
      </c>
      <c r="G44" s="18">
        <v>4.2967102803738317</v>
      </c>
    </row>
    <row r="45" spans="1:7" x14ac:dyDescent="0.2">
      <c r="A45" s="11" t="s">
        <v>146</v>
      </c>
      <c r="B45" s="17">
        <v>13286</v>
      </c>
      <c r="C45" s="17">
        <v>0</v>
      </c>
      <c r="D45" s="17">
        <v>13068</v>
      </c>
      <c r="E45" s="17">
        <v>13068</v>
      </c>
      <c r="F45" s="17">
        <v>13237</v>
      </c>
      <c r="G45" s="18">
        <v>0.24742056074766355</v>
      </c>
    </row>
    <row r="46" spans="1:7" x14ac:dyDescent="0.2">
      <c r="A46" s="11" t="s">
        <v>147</v>
      </c>
      <c r="B46" s="17">
        <v>44354</v>
      </c>
      <c r="C46" s="17">
        <v>0</v>
      </c>
      <c r="D46" s="17">
        <v>43628</v>
      </c>
      <c r="E46" s="17">
        <v>43628</v>
      </c>
      <c r="F46" s="17">
        <v>44191</v>
      </c>
      <c r="G46" s="18">
        <v>0.82599999999999996</v>
      </c>
    </row>
    <row r="47" spans="1:7" x14ac:dyDescent="0.2">
      <c r="A47" s="11" t="s">
        <v>148</v>
      </c>
      <c r="B47" s="17">
        <v>6876</v>
      </c>
      <c r="C47" s="17">
        <v>0</v>
      </c>
      <c r="D47" s="17">
        <v>6764</v>
      </c>
      <c r="E47" s="17">
        <v>6764</v>
      </c>
      <c r="F47" s="17">
        <v>6851</v>
      </c>
      <c r="G47" s="18">
        <v>0.12805607476635514</v>
      </c>
    </row>
    <row r="48" spans="1:7" x14ac:dyDescent="0.2">
      <c r="A48" s="11" t="s">
        <v>149</v>
      </c>
      <c r="B48" s="17">
        <v>58767</v>
      </c>
      <c r="C48" s="17">
        <v>0</v>
      </c>
      <c r="D48" s="17">
        <v>57805</v>
      </c>
      <c r="E48" s="17">
        <v>57805</v>
      </c>
      <c r="F48" s="17">
        <v>58552</v>
      </c>
      <c r="G48" s="18">
        <v>1.0944299065420562</v>
      </c>
    </row>
    <row r="49" spans="1:7" x14ac:dyDescent="0.2">
      <c r="A49" s="11" t="s">
        <v>150</v>
      </c>
      <c r="B49" s="17">
        <v>207520</v>
      </c>
      <c r="C49" s="17">
        <v>0</v>
      </c>
      <c r="D49" s="17">
        <v>204122</v>
      </c>
      <c r="E49" s="17">
        <v>204122</v>
      </c>
      <c r="F49" s="17">
        <v>206759</v>
      </c>
      <c r="G49" s="18">
        <v>3.8646542056074766</v>
      </c>
    </row>
    <row r="50" spans="1:7" x14ac:dyDescent="0.2">
      <c r="A50" s="11" t="s">
        <v>151</v>
      </c>
      <c r="B50" s="17">
        <v>29247</v>
      </c>
      <c r="C50" s="17">
        <v>0</v>
      </c>
      <c r="D50" s="17">
        <v>28769</v>
      </c>
      <c r="E50" s="17">
        <v>28769</v>
      </c>
      <c r="F50" s="17">
        <v>29140</v>
      </c>
      <c r="G50" s="18">
        <v>0.54467289719626166</v>
      </c>
    </row>
    <row r="51" spans="1:7" x14ac:dyDescent="0.2">
      <c r="A51" s="11" t="s">
        <v>152</v>
      </c>
      <c r="B51" s="17">
        <v>15238</v>
      </c>
      <c r="C51" s="17">
        <v>0</v>
      </c>
      <c r="D51" s="17">
        <v>14988</v>
      </c>
      <c r="E51" s="17">
        <v>14988</v>
      </c>
      <c r="F51" s="17">
        <v>15182</v>
      </c>
      <c r="G51" s="18">
        <v>0.28377570093457943</v>
      </c>
    </row>
    <row r="52" spans="1:7" x14ac:dyDescent="0.2">
      <c r="A52" s="11" t="s">
        <v>153</v>
      </c>
      <c r="B52" s="17">
        <v>67728</v>
      </c>
      <c r="C52" s="17">
        <v>0</v>
      </c>
      <c r="D52" s="17">
        <v>66619</v>
      </c>
      <c r="E52" s="17">
        <v>66619</v>
      </c>
      <c r="F52" s="17">
        <v>67480</v>
      </c>
      <c r="G52" s="18">
        <v>1.2613084112149533</v>
      </c>
    </row>
    <row r="53" spans="1:7" x14ac:dyDescent="0.2">
      <c r="A53" s="11" t="s">
        <v>154</v>
      </c>
      <c r="B53" s="17">
        <v>101079</v>
      </c>
      <c r="C53" s="17">
        <v>0</v>
      </c>
      <c r="D53" s="17">
        <v>99425</v>
      </c>
      <c r="E53" s="17">
        <v>99425</v>
      </c>
      <c r="F53" s="17">
        <v>100709</v>
      </c>
      <c r="G53" s="18">
        <v>1.882411214953271</v>
      </c>
    </row>
    <row r="54" spans="1:7" x14ac:dyDescent="0.2">
      <c r="A54" s="11" t="s">
        <v>155</v>
      </c>
      <c r="B54" s="17">
        <v>48577</v>
      </c>
      <c r="C54" s="17">
        <v>0</v>
      </c>
      <c r="D54" s="17">
        <v>47782</v>
      </c>
      <c r="E54" s="17">
        <v>47782</v>
      </c>
      <c r="F54" s="17">
        <v>48399</v>
      </c>
      <c r="G54" s="18">
        <v>0.90465420560747667</v>
      </c>
    </row>
    <row r="55" spans="1:7" x14ac:dyDescent="0.2">
      <c r="A55" s="11" t="s">
        <v>156</v>
      </c>
      <c r="B55" s="17">
        <v>73152</v>
      </c>
      <c r="C55" s="17">
        <v>0</v>
      </c>
      <c r="D55" s="17">
        <v>71955</v>
      </c>
      <c r="E55" s="17">
        <v>71955</v>
      </c>
      <c r="F55" s="17">
        <v>72884</v>
      </c>
      <c r="G55" s="18">
        <v>1.3623177570093459</v>
      </c>
    </row>
    <row r="56" spans="1:7" x14ac:dyDescent="0.2">
      <c r="A56" s="11" t="s">
        <v>157</v>
      </c>
      <c r="B56" s="17">
        <v>3908</v>
      </c>
      <c r="C56" s="17">
        <v>0</v>
      </c>
      <c r="D56" s="17">
        <v>3844</v>
      </c>
      <c r="E56" s="17">
        <v>3844</v>
      </c>
      <c r="F56" s="17">
        <v>3894</v>
      </c>
      <c r="G56" s="18">
        <v>7.2785046728971958E-2</v>
      </c>
    </row>
    <row r="57" spans="1:7" x14ac:dyDescent="0.2">
      <c r="A57" s="11" t="s">
        <v>158</v>
      </c>
      <c r="B57" s="17">
        <v>0</v>
      </c>
      <c r="C57" s="17">
        <v>0</v>
      </c>
      <c r="D57" s="17">
        <v>0</v>
      </c>
      <c r="E57" s="17">
        <v>0</v>
      </c>
      <c r="F57" s="17">
        <v>0</v>
      </c>
      <c r="G57" s="18">
        <v>0</v>
      </c>
    </row>
    <row r="58" spans="1:7" x14ac:dyDescent="0.2">
      <c r="A58" s="11" t="s">
        <v>159</v>
      </c>
      <c r="B58" s="17">
        <v>0</v>
      </c>
      <c r="C58" s="17">
        <v>0</v>
      </c>
      <c r="D58" s="17">
        <v>0</v>
      </c>
      <c r="E58" s="17">
        <v>0</v>
      </c>
      <c r="F58" s="17">
        <v>0</v>
      </c>
      <c r="G58" s="18">
        <v>0</v>
      </c>
    </row>
    <row r="59" spans="1:7" x14ac:dyDescent="0.2">
      <c r="A59" s="11" t="s">
        <v>160</v>
      </c>
      <c r="B59" s="17">
        <v>0</v>
      </c>
      <c r="C59" s="17">
        <v>0</v>
      </c>
      <c r="D59" s="17">
        <v>0</v>
      </c>
      <c r="E59" s="17">
        <v>0</v>
      </c>
      <c r="F59" s="17">
        <v>0</v>
      </c>
      <c r="G59" s="18">
        <v>0</v>
      </c>
    </row>
    <row r="60" spans="1:7" x14ac:dyDescent="0.2">
      <c r="A60" s="11" t="s">
        <v>161</v>
      </c>
      <c r="B60" s="17">
        <v>5104</v>
      </c>
      <c r="C60" s="17">
        <v>0</v>
      </c>
      <c r="D60" s="17">
        <v>5020</v>
      </c>
      <c r="E60" s="17">
        <v>5020</v>
      </c>
      <c r="F60" s="17">
        <v>5085</v>
      </c>
      <c r="G60" s="18">
        <v>9.5046728971962618E-2</v>
      </c>
    </row>
    <row r="61" spans="1:7" x14ac:dyDescent="0.2">
      <c r="A61" s="11" t="s">
        <v>162</v>
      </c>
      <c r="B61" s="17">
        <v>0</v>
      </c>
      <c r="C61" s="17">
        <v>0</v>
      </c>
      <c r="D61" s="17">
        <v>0</v>
      </c>
      <c r="E61" s="17">
        <v>0</v>
      </c>
      <c r="F61" s="17">
        <v>0</v>
      </c>
      <c r="G61" s="18">
        <v>0</v>
      </c>
    </row>
    <row r="62" spans="1:7" x14ac:dyDescent="0.2">
      <c r="A62" s="11" t="s">
        <v>163</v>
      </c>
      <c r="B62" s="17">
        <v>454</v>
      </c>
      <c r="C62" s="17">
        <v>0</v>
      </c>
      <c r="D62" s="17">
        <v>447</v>
      </c>
      <c r="E62" s="17">
        <v>447</v>
      </c>
      <c r="F62" s="17">
        <v>452</v>
      </c>
      <c r="G62" s="18">
        <v>8.4485981308411208E-3</v>
      </c>
    </row>
    <row r="63" spans="1:7" x14ac:dyDescent="0.2">
      <c r="A63" s="11" t="s">
        <v>164</v>
      </c>
      <c r="B63" s="17">
        <v>3879</v>
      </c>
      <c r="C63" s="17">
        <v>0</v>
      </c>
      <c r="D63" s="17">
        <v>6910</v>
      </c>
      <c r="E63" s="17">
        <v>6910</v>
      </c>
      <c r="F63" s="17">
        <v>7028</v>
      </c>
      <c r="G63" s="18">
        <v>0.1313644859813084</v>
      </c>
    </row>
    <row r="64" spans="1:7" x14ac:dyDescent="0.2">
      <c r="A64" s="11" t="s">
        <v>165</v>
      </c>
      <c r="B64" s="17">
        <v>0</v>
      </c>
      <c r="C64" s="17">
        <v>0</v>
      </c>
      <c r="D64" s="17">
        <v>0</v>
      </c>
      <c r="E64" s="17">
        <v>0</v>
      </c>
      <c r="F64" s="17">
        <v>0</v>
      </c>
      <c r="G64" s="18">
        <v>0</v>
      </c>
    </row>
    <row r="65" spans="1:7" x14ac:dyDescent="0.2">
      <c r="A65" s="11" t="s">
        <v>206</v>
      </c>
      <c r="B65" s="17">
        <v>34403</v>
      </c>
      <c r="C65" s="17">
        <v>0</v>
      </c>
      <c r="D65" s="17">
        <v>33734</v>
      </c>
      <c r="E65" s="17">
        <v>33734</v>
      </c>
      <c r="F65" s="17">
        <v>35202</v>
      </c>
      <c r="G65" s="18">
        <v>0.65798130841121494</v>
      </c>
    </row>
    <row r="66" spans="1:7" ht="15" customHeight="1" x14ac:dyDescent="0.2">
      <c r="A66" s="19" t="s">
        <v>106</v>
      </c>
      <c r="B66" s="20">
        <f>54461+25580+169443+38400+1509183+77916+71503+7843+42469+223841+87295+18512+12016+198697+64220+18552+22666+51611+34910+17986+68848+134767+124327+53344+26783+74837+19044+19411+48836+12633+93137+20873+486191+98865+12601+221682+57083+100926+230720+13286+44354+6876+58767+207520+29247+15238+67728+101079+48577+73152+3908+0+0+0+5104+0+454+3879+0+0+0+0+34403+0</f>
        <v>5365584</v>
      </c>
      <c r="C66" s="20">
        <f>0+0+0+0+0+0+0+0+0+0+0+0+0+0+0+0+0+0+0+0+0+0+0+0+0+0+0+0+0+0+0+0+0+0+0+0+0+0+0+0+0+0+0+0+0+0+0+0+0+0+0+0+0+0+0+0+0+0+0+0+0+0+0+0</f>
        <v>0</v>
      </c>
      <c r="D66" s="20">
        <f>53569+25161+166669+37771+1484473+76641+70332+7714+41774+220177+85866+18209+11820+195444+63169+18248+22295+50766+34338+17691+67721+132560+122292+52471+26344+73611+18732+19094+48036+12427+91613+20531+478229+97247+12395+218052+56149+99274+226942+13068+43628+6764+57805+204122+28769+14988+66619+99425+47782+71955+3844+0+0+0+5020+0+447+6910+0+0+0+0+33734+0</f>
        <v>5280727</v>
      </c>
      <c r="E66" s="20">
        <f>SUM(C66:D66)</f>
        <v>5280727</v>
      </c>
      <c r="F66" s="20" t="s">
        <v>437</v>
      </c>
      <c r="G66" s="21" t="s">
        <v>219</v>
      </c>
    </row>
    <row r="67" spans="1:7" ht="30" customHeight="1" x14ac:dyDescent="0.2">
      <c r="A67" s="73" t="s">
        <v>436</v>
      </c>
      <c r="B67" s="73"/>
      <c r="C67" s="73"/>
      <c r="D67" s="73"/>
      <c r="E67" s="73"/>
      <c r="F67" s="73"/>
      <c r="G67" s="73"/>
    </row>
    <row r="68" spans="1:7" ht="15" customHeight="1" x14ac:dyDescent="0.2">
      <c r="A68" s="73" t="s">
        <v>439</v>
      </c>
      <c r="B68" s="73"/>
      <c r="C68" s="73"/>
      <c r="D68" s="73"/>
      <c r="E68" s="73"/>
      <c r="F68" s="73"/>
      <c r="G68" s="73"/>
    </row>
    <row r="69" spans="1:7" ht="15" customHeight="1" x14ac:dyDescent="0.2">
      <c r="A69" s="65" t="s">
        <v>221</v>
      </c>
      <c r="B69" s="65"/>
      <c r="C69" s="65"/>
      <c r="D69" s="65"/>
      <c r="E69" s="65"/>
      <c r="F69" s="65"/>
      <c r="G69" s="65"/>
    </row>
  </sheetData>
  <mergeCells count="7">
    <mergeCell ref="A68:G68"/>
    <mergeCell ref="A69:G69"/>
    <mergeCell ref="A4:A5"/>
    <mergeCell ref="B4:B5"/>
    <mergeCell ref="F4:F5"/>
    <mergeCell ref="G4:G5"/>
    <mergeCell ref="A67:G67"/>
  </mergeCells>
  <pageMargins left="0.7" right="0.7" top="0.75" bottom="0.75" header="0.3" footer="0.3"/>
  <pageSetup scale="7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222</v>
      </c>
    </row>
    <row r="2" spans="1:7" x14ac:dyDescent="0.2">
      <c r="A2" s="13" t="s">
        <v>224</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11070</v>
      </c>
      <c r="C6" s="17">
        <v>0</v>
      </c>
      <c r="D6" s="17">
        <v>11704</v>
      </c>
      <c r="E6" s="17">
        <v>11704</v>
      </c>
      <c r="F6" s="17">
        <v>12583</v>
      </c>
      <c r="G6" s="18">
        <v>0.40907022106631991</v>
      </c>
    </row>
    <row r="7" spans="1:7" x14ac:dyDescent="0.2">
      <c r="A7" s="11" t="s">
        <v>108</v>
      </c>
      <c r="B7" s="17">
        <v>21892</v>
      </c>
      <c r="C7" s="17">
        <v>0</v>
      </c>
      <c r="D7" s="17">
        <v>23145</v>
      </c>
      <c r="E7" s="17">
        <v>23145</v>
      </c>
      <c r="F7" s="17">
        <v>24884</v>
      </c>
      <c r="G7" s="18">
        <v>0.80897269180754228</v>
      </c>
    </row>
    <row r="8" spans="1:7" x14ac:dyDescent="0.2">
      <c r="A8" s="11" t="s">
        <v>109</v>
      </c>
      <c r="B8" s="17">
        <v>133747</v>
      </c>
      <c r="C8" s="17">
        <v>0</v>
      </c>
      <c r="D8" s="17">
        <v>141399</v>
      </c>
      <c r="E8" s="17">
        <v>141399</v>
      </c>
      <c r="F8" s="17">
        <v>152026</v>
      </c>
      <c r="G8" s="18">
        <v>4.9423276983094926</v>
      </c>
    </row>
    <row r="9" spans="1:7" x14ac:dyDescent="0.2">
      <c r="A9" s="11" t="s">
        <v>110</v>
      </c>
      <c r="B9" s="17">
        <v>22840</v>
      </c>
      <c r="C9" s="17">
        <v>0</v>
      </c>
      <c r="D9" s="17">
        <v>24147</v>
      </c>
      <c r="E9" s="17">
        <v>24147</v>
      </c>
      <c r="F9" s="17">
        <v>25962</v>
      </c>
      <c r="G9" s="18">
        <v>0.84401820546163853</v>
      </c>
    </row>
    <row r="10" spans="1:7" x14ac:dyDescent="0.2">
      <c r="A10" s="11" t="s">
        <v>111</v>
      </c>
      <c r="B10" s="17">
        <v>513039</v>
      </c>
      <c r="C10" s="17">
        <v>0</v>
      </c>
      <c r="D10" s="17">
        <v>542391</v>
      </c>
      <c r="E10" s="17">
        <v>542391</v>
      </c>
      <c r="F10" s="17">
        <v>583155</v>
      </c>
      <c r="G10" s="18">
        <v>18.958224967490246</v>
      </c>
    </row>
    <row r="11" spans="1:7" x14ac:dyDescent="0.2">
      <c r="A11" s="11" t="s">
        <v>112</v>
      </c>
      <c r="B11" s="17">
        <v>16478</v>
      </c>
      <c r="C11" s="17">
        <v>0</v>
      </c>
      <c r="D11" s="17">
        <v>17421</v>
      </c>
      <c r="E11" s="17">
        <v>17421</v>
      </c>
      <c r="F11" s="17">
        <v>18730</v>
      </c>
      <c r="G11" s="18">
        <v>0.60890767230169052</v>
      </c>
    </row>
    <row r="12" spans="1:7" x14ac:dyDescent="0.2">
      <c r="A12" s="11" t="s">
        <v>113</v>
      </c>
      <c r="B12" s="17">
        <v>44135</v>
      </c>
      <c r="C12" s="17">
        <v>0</v>
      </c>
      <c r="D12" s="17">
        <v>46661</v>
      </c>
      <c r="E12" s="17">
        <v>46661</v>
      </c>
      <c r="F12" s="17">
        <v>50167</v>
      </c>
      <c r="G12" s="18">
        <v>1.6309167750325098</v>
      </c>
    </row>
    <row r="13" spans="1:7" x14ac:dyDescent="0.2">
      <c r="A13" s="11" t="s">
        <v>114</v>
      </c>
      <c r="B13" s="17">
        <v>1918</v>
      </c>
      <c r="C13" s="17">
        <v>0</v>
      </c>
      <c r="D13" s="17">
        <v>2027</v>
      </c>
      <c r="E13" s="17">
        <v>2027</v>
      </c>
      <c r="F13" s="17">
        <v>2180</v>
      </c>
      <c r="G13" s="18">
        <v>7.0871261378413528E-2</v>
      </c>
    </row>
    <row r="14" spans="1:7" x14ac:dyDescent="0.2">
      <c r="A14" s="11" t="s">
        <v>115</v>
      </c>
      <c r="B14" s="17">
        <v>10296</v>
      </c>
      <c r="C14" s="17">
        <v>0</v>
      </c>
      <c r="D14" s="17">
        <v>10885</v>
      </c>
      <c r="E14" s="17">
        <v>10885</v>
      </c>
      <c r="F14" s="17">
        <v>11703</v>
      </c>
      <c r="G14" s="18">
        <v>0.38046163849154746</v>
      </c>
    </row>
    <row r="15" spans="1:7" x14ac:dyDescent="0.2">
      <c r="A15" s="11" t="s">
        <v>116</v>
      </c>
      <c r="B15" s="17">
        <v>152928</v>
      </c>
      <c r="C15" s="17">
        <v>0</v>
      </c>
      <c r="D15" s="17">
        <v>161677</v>
      </c>
      <c r="E15" s="17">
        <v>161677</v>
      </c>
      <c r="F15" s="17">
        <v>173828</v>
      </c>
      <c r="G15" s="18">
        <v>5.6511053315994797</v>
      </c>
    </row>
    <row r="16" spans="1:7" x14ac:dyDescent="0.2">
      <c r="A16" s="11" t="s">
        <v>117</v>
      </c>
      <c r="B16" s="17">
        <v>43099</v>
      </c>
      <c r="C16" s="17">
        <v>0</v>
      </c>
      <c r="D16" s="17">
        <v>45564</v>
      </c>
      <c r="E16" s="17">
        <v>45564</v>
      </c>
      <c r="F16" s="17">
        <v>48989</v>
      </c>
      <c r="G16" s="18">
        <v>1.5926202860858258</v>
      </c>
    </row>
    <row r="17" spans="1:7" x14ac:dyDescent="0.2">
      <c r="A17" s="11" t="s">
        <v>118</v>
      </c>
      <c r="B17" s="17">
        <v>15717</v>
      </c>
      <c r="C17" s="17">
        <v>0</v>
      </c>
      <c r="D17" s="17">
        <v>16616</v>
      </c>
      <c r="E17" s="17">
        <v>16616</v>
      </c>
      <c r="F17" s="17">
        <v>17864</v>
      </c>
      <c r="G17" s="18">
        <v>0.58075422626788031</v>
      </c>
    </row>
    <row r="18" spans="1:7" x14ac:dyDescent="0.2">
      <c r="A18" s="11" t="s">
        <v>119</v>
      </c>
      <c r="B18" s="17">
        <v>7671</v>
      </c>
      <c r="C18" s="17">
        <v>0</v>
      </c>
      <c r="D18" s="17">
        <v>8110</v>
      </c>
      <c r="E18" s="17">
        <v>8110</v>
      </c>
      <c r="F18" s="17">
        <v>8720</v>
      </c>
      <c r="G18" s="18">
        <v>0.28348504551365411</v>
      </c>
    </row>
    <row r="19" spans="1:7" x14ac:dyDescent="0.2">
      <c r="A19" s="11" t="s">
        <v>120</v>
      </c>
      <c r="B19" s="17">
        <v>80063</v>
      </c>
      <c r="C19" s="17">
        <v>0</v>
      </c>
      <c r="D19" s="17">
        <v>84644</v>
      </c>
      <c r="E19" s="17">
        <v>84644</v>
      </c>
      <c r="F19" s="17">
        <v>91005</v>
      </c>
      <c r="G19" s="18">
        <v>2.958550065019506</v>
      </c>
    </row>
    <row r="20" spans="1:7" x14ac:dyDescent="0.2">
      <c r="A20" s="11" t="s">
        <v>121</v>
      </c>
      <c r="B20" s="17">
        <v>62663</v>
      </c>
      <c r="C20" s="17">
        <v>0</v>
      </c>
      <c r="D20" s="17">
        <v>66248</v>
      </c>
      <c r="E20" s="17">
        <v>66248</v>
      </c>
      <c r="F20" s="17">
        <v>71227</v>
      </c>
      <c r="G20" s="18">
        <v>2.3155721716514956</v>
      </c>
    </row>
    <row r="21" spans="1:7" x14ac:dyDescent="0.2">
      <c r="A21" s="11" t="s">
        <v>122</v>
      </c>
      <c r="B21" s="17">
        <v>38268</v>
      </c>
      <c r="C21" s="17">
        <v>0</v>
      </c>
      <c r="D21" s="17">
        <v>40457</v>
      </c>
      <c r="E21" s="17">
        <v>40457</v>
      </c>
      <c r="F21" s="17">
        <v>43498</v>
      </c>
      <c r="G21" s="18">
        <v>1.414109232769831</v>
      </c>
    </row>
    <row r="22" spans="1:7" x14ac:dyDescent="0.2">
      <c r="A22" s="11" t="s">
        <v>123</v>
      </c>
      <c r="B22" s="17">
        <v>17934</v>
      </c>
      <c r="C22" s="17">
        <v>0</v>
      </c>
      <c r="D22" s="17">
        <v>18960</v>
      </c>
      <c r="E22" s="17">
        <v>18960</v>
      </c>
      <c r="F22" s="17">
        <v>20385</v>
      </c>
      <c r="G22" s="18">
        <v>0.66271131339401823</v>
      </c>
    </row>
    <row r="23" spans="1:7" x14ac:dyDescent="0.2">
      <c r="A23" s="11" t="s">
        <v>124</v>
      </c>
      <c r="B23" s="17">
        <v>54271</v>
      </c>
      <c r="C23" s="17">
        <v>0</v>
      </c>
      <c r="D23" s="17">
        <v>57376</v>
      </c>
      <c r="E23" s="17">
        <v>57376</v>
      </c>
      <c r="F23" s="17">
        <v>61688</v>
      </c>
      <c r="G23" s="18">
        <v>2.0054616384915476</v>
      </c>
    </row>
    <row r="24" spans="1:7" x14ac:dyDescent="0.2">
      <c r="A24" s="11" t="s">
        <v>125</v>
      </c>
      <c r="B24" s="17">
        <v>17911</v>
      </c>
      <c r="C24" s="17">
        <v>0</v>
      </c>
      <c r="D24" s="17">
        <v>18936</v>
      </c>
      <c r="E24" s="17">
        <v>18936</v>
      </c>
      <c r="F24" s="17">
        <v>20359</v>
      </c>
      <c r="G24" s="18">
        <v>0.66186605981794533</v>
      </c>
    </row>
    <row r="25" spans="1:7" x14ac:dyDescent="0.2">
      <c r="A25" s="11" t="s">
        <v>126</v>
      </c>
      <c r="B25" s="17">
        <v>17352</v>
      </c>
      <c r="C25" s="17">
        <v>0</v>
      </c>
      <c r="D25" s="17">
        <v>18345</v>
      </c>
      <c r="E25" s="17">
        <v>18345</v>
      </c>
      <c r="F25" s="17">
        <v>19723</v>
      </c>
      <c r="G25" s="18">
        <v>0.64118985695708708</v>
      </c>
    </row>
    <row r="26" spans="1:7" x14ac:dyDescent="0.2">
      <c r="A26" s="11" t="s">
        <v>127</v>
      </c>
      <c r="B26" s="17">
        <v>20658</v>
      </c>
      <c r="C26" s="17">
        <v>0</v>
      </c>
      <c r="D26" s="17">
        <v>21840</v>
      </c>
      <c r="E26" s="17">
        <v>21840</v>
      </c>
      <c r="F26" s="17">
        <v>23481</v>
      </c>
      <c r="G26" s="18">
        <v>0.76336150845253581</v>
      </c>
    </row>
    <row r="27" spans="1:7" x14ac:dyDescent="0.2">
      <c r="A27" s="11" t="s">
        <v>128</v>
      </c>
      <c r="B27" s="17">
        <v>29869</v>
      </c>
      <c r="C27" s="17">
        <v>0</v>
      </c>
      <c r="D27" s="17">
        <v>31578</v>
      </c>
      <c r="E27" s="17">
        <v>31578</v>
      </c>
      <c r="F27" s="17">
        <v>33951</v>
      </c>
      <c r="G27" s="18">
        <v>1.103738621586476</v>
      </c>
    </row>
    <row r="28" spans="1:7" x14ac:dyDescent="0.2">
      <c r="A28" s="11" t="s">
        <v>129</v>
      </c>
      <c r="B28" s="17">
        <v>114946</v>
      </c>
      <c r="C28" s="17">
        <v>0</v>
      </c>
      <c r="D28" s="17">
        <v>121523</v>
      </c>
      <c r="E28" s="17">
        <v>121523</v>
      </c>
      <c r="F28" s="17">
        <v>130656</v>
      </c>
      <c r="G28" s="18">
        <v>4.2475942782834855</v>
      </c>
    </row>
    <row r="29" spans="1:7" x14ac:dyDescent="0.2">
      <c r="A29" s="11" t="s">
        <v>130</v>
      </c>
      <c r="B29" s="17">
        <v>31635</v>
      </c>
      <c r="C29" s="17">
        <v>0</v>
      </c>
      <c r="D29" s="17">
        <v>33445</v>
      </c>
      <c r="E29" s="17">
        <v>33445</v>
      </c>
      <c r="F29" s="17">
        <v>35958</v>
      </c>
      <c r="G29" s="18">
        <v>1.1689856957087126</v>
      </c>
    </row>
    <row r="30" spans="1:7" x14ac:dyDescent="0.2">
      <c r="A30" s="11" t="s">
        <v>131</v>
      </c>
      <c r="B30" s="17">
        <v>12471</v>
      </c>
      <c r="C30" s="17">
        <v>0</v>
      </c>
      <c r="D30" s="17">
        <v>13185</v>
      </c>
      <c r="E30" s="17">
        <v>13185</v>
      </c>
      <c r="F30" s="17">
        <v>14176</v>
      </c>
      <c r="G30" s="18">
        <v>0.46085825747724318</v>
      </c>
    </row>
    <row r="31" spans="1:7" x14ac:dyDescent="0.2">
      <c r="A31" s="11" t="s">
        <v>132</v>
      </c>
      <c r="B31" s="17">
        <v>37365</v>
      </c>
      <c r="C31" s="17">
        <v>0</v>
      </c>
      <c r="D31" s="17">
        <v>39502</v>
      </c>
      <c r="E31" s="17">
        <v>39502</v>
      </c>
      <c r="F31" s="17">
        <v>42471</v>
      </c>
      <c r="G31" s="18">
        <v>1.3807217165149546</v>
      </c>
    </row>
    <row r="32" spans="1:7" x14ac:dyDescent="0.2">
      <c r="A32" s="11" t="s">
        <v>133</v>
      </c>
      <c r="B32" s="17">
        <v>8179</v>
      </c>
      <c r="C32" s="17">
        <v>0</v>
      </c>
      <c r="D32" s="17">
        <v>8647</v>
      </c>
      <c r="E32" s="17">
        <v>8647</v>
      </c>
      <c r="F32" s="17">
        <v>9297</v>
      </c>
      <c r="G32" s="18">
        <v>0.30224317295188557</v>
      </c>
    </row>
    <row r="33" spans="1:7" x14ac:dyDescent="0.2">
      <c r="A33" s="11" t="s">
        <v>134</v>
      </c>
      <c r="B33" s="17">
        <v>17890</v>
      </c>
      <c r="C33" s="17">
        <v>0</v>
      </c>
      <c r="D33" s="17">
        <v>18914</v>
      </c>
      <c r="E33" s="17">
        <v>18914</v>
      </c>
      <c r="F33" s="17">
        <v>20335</v>
      </c>
      <c r="G33" s="18">
        <v>0.66108582574772434</v>
      </c>
    </row>
    <row r="34" spans="1:7" x14ac:dyDescent="0.2">
      <c r="A34" s="11" t="s">
        <v>135</v>
      </c>
      <c r="B34" s="17">
        <v>33546</v>
      </c>
      <c r="C34" s="17">
        <v>0</v>
      </c>
      <c r="D34" s="17">
        <v>35466</v>
      </c>
      <c r="E34" s="17">
        <v>35466</v>
      </c>
      <c r="F34" s="17">
        <v>38131</v>
      </c>
      <c r="G34" s="18">
        <v>1.239629388816645</v>
      </c>
    </row>
    <row r="35" spans="1:7" x14ac:dyDescent="0.2">
      <c r="A35" s="11" t="s">
        <v>136</v>
      </c>
      <c r="B35" s="17">
        <v>3121</v>
      </c>
      <c r="C35" s="17">
        <v>0</v>
      </c>
      <c r="D35" s="17">
        <v>3299</v>
      </c>
      <c r="E35" s="17">
        <v>3299</v>
      </c>
      <c r="F35" s="17">
        <v>3547</v>
      </c>
      <c r="G35" s="18">
        <v>0.11531209362808843</v>
      </c>
    </row>
    <row r="36" spans="1:7" x14ac:dyDescent="0.2">
      <c r="A36" s="11" t="s">
        <v>137</v>
      </c>
      <c r="B36" s="17">
        <v>73765</v>
      </c>
      <c r="C36" s="17">
        <v>0</v>
      </c>
      <c r="D36" s="17">
        <v>77985</v>
      </c>
      <c r="E36" s="17">
        <v>77985</v>
      </c>
      <c r="F36" s="17">
        <v>83846</v>
      </c>
      <c r="G36" s="18">
        <v>2.725812743823147</v>
      </c>
    </row>
    <row r="37" spans="1:7" x14ac:dyDescent="0.2">
      <c r="A37" s="11" t="s">
        <v>138</v>
      </c>
      <c r="B37" s="17">
        <v>21039</v>
      </c>
      <c r="C37" s="17">
        <v>0</v>
      </c>
      <c r="D37" s="17">
        <v>22242</v>
      </c>
      <c r="E37" s="17">
        <v>22242</v>
      </c>
      <c r="F37" s="17">
        <v>23914</v>
      </c>
      <c r="G37" s="18">
        <v>0.7774382314694408</v>
      </c>
    </row>
    <row r="38" spans="1:7" x14ac:dyDescent="0.2">
      <c r="A38" s="11" t="s">
        <v>139</v>
      </c>
      <c r="B38" s="17">
        <v>116998</v>
      </c>
      <c r="C38" s="17">
        <v>0</v>
      </c>
      <c r="D38" s="17">
        <v>123692</v>
      </c>
      <c r="E38" s="17">
        <v>123692</v>
      </c>
      <c r="F38" s="17">
        <v>132988</v>
      </c>
      <c r="G38" s="18">
        <v>4.3234070221066316</v>
      </c>
    </row>
    <row r="39" spans="1:7" x14ac:dyDescent="0.2">
      <c r="A39" s="11" t="s">
        <v>140</v>
      </c>
      <c r="B39" s="17">
        <v>63978</v>
      </c>
      <c r="C39" s="17">
        <v>0</v>
      </c>
      <c r="D39" s="17">
        <v>67638</v>
      </c>
      <c r="E39" s="17">
        <v>67638</v>
      </c>
      <c r="F39" s="17">
        <v>72721</v>
      </c>
      <c r="G39" s="18">
        <v>2.3641417425227567</v>
      </c>
    </row>
    <row r="40" spans="1:7" x14ac:dyDescent="0.2">
      <c r="A40" s="11" t="s">
        <v>141</v>
      </c>
      <c r="B40" s="17">
        <v>6723</v>
      </c>
      <c r="C40" s="17">
        <v>0</v>
      </c>
      <c r="D40" s="17">
        <v>7107</v>
      </c>
      <c r="E40" s="17">
        <v>7107</v>
      </c>
      <c r="F40" s="17">
        <v>7641</v>
      </c>
      <c r="G40" s="18">
        <v>0.24840702210663199</v>
      </c>
    </row>
    <row r="41" spans="1:7" x14ac:dyDescent="0.2">
      <c r="A41" s="11" t="s">
        <v>142</v>
      </c>
      <c r="B41" s="17">
        <v>157961</v>
      </c>
      <c r="C41" s="17">
        <v>0</v>
      </c>
      <c r="D41" s="17">
        <v>166999</v>
      </c>
      <c r="E41" s="17">
        <v>166999</v>
      </c>
      <c r="F41" s="17">
        <v>179549</v>
      </c>
      <c r="G41" s="18">
        <v>5.8370936280884269</v>
      </c>
    </row>
    <row r="42" spans="1:7" x14ac:dyDescent="0.2">
      <c r="A42" s="11" t="s">
        <v>143</v>
      </c>
      <c r="B42" s="17">
        <v>66977</v>
      </c>
      <c r="C42" s="17">
        <v>0</v>
      </c>
      <c r="D42" s="17">
        <v>70809</v>
      </c>
      <c r="E42" s="17">
        <v>70809</v>
      </c>
      <c r="F42" s="17">
        <v>76130</v>
      </c>
      <c r="G42" s="18">
        <v>2.474967490247074</v>
      </c>
    </row>
    <row r="43" spans="1:7" x14ac:dyDescent="0.2">
      <c r="A43" s="11" t="s">
        <v>144</v>
      </c>
      <c r="B43" s="17">
        <v>42765</v>
      </c>
      <c r="C43" s="17">
        <v>0</v>
      </c>
      <c r="D43" s="17">
        <v>45212</v>
      </c>
      <c r="E43" s="17">
        <v>45212</v>
      </c>
      <c r="F43" s="17">
        <v>48609</v>
      </c>
      <c r="G43" s="18">
        <v>1.5802665799739921</v>
      </c>
    </row>
    <row r="44" spans="1:7" x14ac:dyDescent="0.2">
      <c r="A44" s="11" t="s">
        <v>145</v>
      </c>
      <c r="B44" s="17">
        <v>104476</v>
      </c>
      <c r="C44" s="17">
        <v>0</v>
      </c>
      <c r="D44" s="17">
        <v>110453</v>
      </c>
      <c r="E44" s="17">
        <v>110453</v>
      </c>
      <c r="F44" s="17">
        <v>118754</v>
      </c>
      <c r="G44" s="18">
        <v>3.860663198959688</v>
      </c>
    </row>
    <row r="45" spans="1:7" x14ac:dyDescent="0.2">
      <c r="A45" s="11" t="s">
        <v>146</v>
      </c>
      <c r="B45" s="17">
        <v>7057</v>
      </c>
      <c r="C45" s="17">
        <v>0</v>
      </c>
      <c r="D45" s="17">
        <v>7461</v>
      </c>
      <c r="E45" s="17">
        <v>7461</v>
      </c>
      <c r="F45" s="17">
        <v>8022</v>
      </c>
      <c r="G45" s="18">
        <v>0.26079323797139142</v>
      </c>
    </row>
    <row r="46" spans="1:7" x14ac:dyDescent="0.2">
      <c r="A46" s="11" t="s">
        <v>147</v>
      </c>
      <c r="B46" s="17">
        <v>19400</v>
      </c>
      <c r="C46" s="17">
        <v>0</v>
      </c>
      <c r="D46" s="17">
        <v>20510</v>
      </c>
      <c r="E46" s="17">
        <v>20510</v>
      </c>
      <c r="F46" s="17">
        <v>22051</v>
      </c>
      <c r="G46" s="18">
        <v>0.71687256176853054</v>
      </c>
    </row>
    <row r="47" spans="1:7" x14ac:dyDescent="0.2">
      <c r="A47" s="11" t="s">
        <v>148</v>
      </c>
      <c r="B47" s="17">
        <v>4608</v>
      </c>
      <c r="C47" s="17">
        <v>0</v>
      </c>
      <c r="D47" s="17">
        <v>4872</v>
      </c>
      <c r="E47" s="17">
        <v>4872</v>
      </c>
      <c r="F47" s="17">
        <v>5238</v>
      </c>
      <c r="G47" s="18">
        <v>0.17028608582574772</v>
      </c>
    </row>
    <row r="48" spans="1:7" x14ac:dyDescent="0.2">
      <c r="A48" s="11" t="s">
        <v>149</v>
      </c>
      <c r="B48" s="17">
        <v>51775</v>
      </c>
      <c r="C48" s="17">
        <v>0</v>
      </c>
      <c r="D48" s="17">
        <v>54737</v>
      </c>
      <c r="E48" s="17">
        <v>54737</v>
      </c>
      <c r="F48" s="17">
        <v>58851</v>
      </c>
      <c r="G48" s="18">
        <v>1.9132314694408323</v>
      </c>
    </row>
    <row r="49" spans="1:7" x14ac:dyDescent="0.2">
      <c r="A49" s="11" t="s">
        <v>150</v>
      </c>
      <c r="B49" s="17">
        <v>143120</v>
      </c>
      <c r="C49" s="17">
        <v>0</v>
      </c>
      <c r="D49" s="17">
        <v>151308</v>
      </c>
      <c r="E49" s="17">
        <v>151308</v>
      </c>
      <c r="F49" s="17">
        <v>162679</v>
      </c>
      <c r="G49" s="18">
        <v>5.2886540962288686</v>
      </c>
    </row>
    <row r="50" spans="1:7" x14ac:dyDescent="0.2">
      <c r="A50" s="11" t="s">
        <v>151</v>
      </c>
      <c r="B50" s="17">
        <v>9980</v>
      </c>
      <c r="C50" s="17">
        <v>0</v>
      </c>
      <c r="D50" s="17">
        <v>10551</v>
      </c>
      <c r="E50" s="17">
        <v>10551</v>
      </c>
      <c r="F50" s="17">
        <v>11344</v>
      </c>
      <c r="G50" s="18">
        <v>0.36879063719115734</v>
      </c>
    </row>
    <row r="51" spans="1:7" x14ac:dyDescent="0.2">
      <c r="A51" s="11" t="s">
        <v>152</v>
      </c>
      <c r="B51" s="17">
        <v>33669</v>
      </c>
      <c r="C51" s="17">
        <v>0</v>
      </c>
      <c r="D51" s="17">
        <v>35595</v>
      </c>
      <c r="E51" s="17">
        <v>35595</v>
      </c>
      <c r="F51" s="17">
        <v>38270</v>
      </c>
      <c r="G51" s="18">
        <v>1.244148244473342</v>
      </c>
    </row>
    <row r="52" spans="1:7" x14ac:dyDescent="0.2">
      <c r="A52" s="11" t="s">
        <v>153</v>
      </c>
      <c r="B52" s="17">
        <v>53612</v>
      </c>
      <c r="C52" s="17">
        <v>0</v>
      </c>
      <c r="D52" s="17">
        <v>56680</v>
      </c>
      <c r="E52" s="17">
        <v>56680</v>
      </c>
      <c r="F52" s="17">
        <v>60939</v>
      </c>
      <c r="G52" s="18">
        <v>1.981111833550065</v>
      </c>
    </row>
    <row r="53" spans="1:7" x14ac:dyDescent="0.2">
      <c r="A53" s="11" t="s">
        <v>154</v>
      </c>
      <c r="B53" s="17">
        <v>44227</v>
      </c>
      <c r="C53" s="17">
        <v>0</v>
      </c>
      <c r="D53" s="17">
        <v>46757</v>
      </c>
      <c r="E53" s="17">
        <v>46757</v>
      </c>
      <c r="F53" s="17">
        <v>50271</v>
      </c>
      <c r="G53" s="18">
        <v>1.6342977893368011</v>
      </c>
    </row>
    <row r="54" spans="1:7" x14ac:dyDescent="0.2">
      <c r="A54" s="11" t="s">
        <v>155</v>
      </c>
      <c r="B54" s="17">
        <v>40834</v>
      </c>
      <c r="C54" s="17">
        <v>0</v>
      </c>
      <c r="D54" s="17">
        <v>43170</v>
      </c>
      <c r="E54" s="17">
        <v>43170</v>
      </c>
      <c r="F54" s="17">
        <v>46414</v>
      </c>
      <c r="G54" s="18">
        <v>1.5089076723016905</v>
      </c>
    </row>
    <row r="55" spans="1:7" x14ac:dyDescent="0.2">
      <c r="A55" s="11" t="s">
        <v>156</v>
      </c>
      <c r="B55" s="17">
        <v>48460</v>
      </c>
      <c r="C55" s="17">
        <v>0</v>
      </c>
      <c r="D55" s="17">
        <v>51232</v>
      </c>
      <c r="E55" s="17">
        <v>51232</v>
      </c>
      <c r="F55" s="17">
        <v>55082</v>
      </c>
      <c r="G55" s="18">
        <v>1.7907022106631989</v>
      </c>
    </row>
    <row r="56" spans="1:7" x14ac:dyDescent="0.2">
      <c r="A56" s="11" t="s">
        <v>157</v>
      </c>
      <c r="B56" s="17">
        <v>833</v>
      </c>
      <c r="C56" s="17">
        <v>0</v>
      </c>
      <c r="D56" s="17">
        <v>881</v>
      </c>
      <c r="E56" s="17">
        <v>881</v>
      </c>
      <c r="F56" s="17">
        <v>947</v>
      </c>
      <c r="G56" s="18">
        <v>3.0786736020806241E-2</v>
      </c>
    </row>
    <row r="57" spans="1:7" x14ac:dyDescent="0.2">
      <c r="A57" s="11" t="s">
        <v>158</v>
      </c>
      <c r="B57" s="17">
        <v>0</v>
      </c>
      <c r="C57" s="17">
        <v>0</v>
      </c>
      <c r="D57" s="17">
        <v>0</v>
      </c>
      <c r="E57" s="17">
        <v>0</v>
      </c>
      <c r="F57" s="17">
        <v>0</v>
      </c>
      <c r="G57" s="18">
        <v>0</v>
      </c>
    </row>
    <row r="58" spans="1:7" x14ac:dyDescent="0.2">
      <c r="A58" s="11" t="s">
        <v>159</v>
      </c>
      <c r="B58" s="17">
        <v>0</v>
      </c>
      <c r="C58" s="17">
        <v>0</v>
      </c>
      <c r="D58" s="17">
        <v>0</v>
      </c>
      <c r="E58" s="17">
        <v>0</v>
      </c>
      <c r="F58" s="17">
        <v>0</v>
      </c>
      <c r="G58" s="18">
        <v>0</v>
      </c>
    </row>
    <row r="59" spans="1:7" x14ac:dyDescent="0.2">
      <c r="A59" s="11" t="s">
        <v>160</v>
      </c>
      <c r="B59" s="17">
        <v>0</v>
      </c>
      <c r="C59" s="17">
        <v>0</v>
      </c>
      <c r="D59" s="17">
        <v>0</v>
      </c>
      <c r="E59" s="17">
        <v>0</v>
      </c>
      <c r="F59" s="17">
        <v>0</v>
      </c>
      <c r="G59" s="18">
        <v>0</v>
      </c>
    </row>
    <row r="60" spans="1:7" x14ac:dyDescent="0.2">
      <c r="A60" s="11" t="s">
        <v>161</v>
      </c>
      <c r="B60" s="17">
        <v>802</v>
      </c>
      <c r="C60" s="17">
        <v>0</v>
      </c>
      <c r="D60" s="17">
        <v>847</v>
      </c>
      <c r="E60" s="17">
        <v>847</v>
      </c>
      <c r="F60" s="17">
        <v>911</v>
      </c>
      <c r="G60" s="18">
        <v>2.9616384915474643E-2</v>
      </c>
    </row>
    <row r="61" spans="1:7" x14ac:dyDescent="0.2">
      <c r="A61" s="11" t="s">
        <v>162</v>
      </c>
      <c r="B61" s="17">
        <v>0</v>
      </c>
      <c r="C61" s="17">
        <v>0</v>
      </c>
      <c r="D61" s="17">
        <v>0</v>
      </c>
      <c r="E61" s="17">
        <v>0</v>
      </c>
      <c r="F61" s="17">
        <v>0</v>
      </c>
      <c r="G61" s="18">
        <v>0</v>
      </c>
    </row>
    <row r="62" spans="1:7" x14ac:dyDescent="0.2">
      <c r="A62" s="11" t="s">
        <v>163</v>
      </c>
      <c r="B62" s="17">
        <v>0</v>
      </c>
      <c r="C62" s="17">
        <v>0</v>
      </c>
      <c r="D62" s="17">
        <v>0</v>
      </c>
      <c r="E62" s="17">
        <v>0</v>
      </c>
      <c r="F62" s="17">
        <v>0</v>
      </c>
      <c r="G62" s="18">
        <v>0</v>
      </c>
    </row>
    <row r="63" spans="1:7" x14ac:dyDescent="0.2">
      <c r="A63" s="11" t="s">
        <v>164</v>
      </c>
      <c r="B63" s="17">
        <v>92</v>
      </c>
      <c r="C63" s="17">
        <v>0</v>
      </c>
      <c r="D63" s="17">
        <v>150</v>
      </c>
      <c r="E63" s="17">
        <v>150</v>
      </c>
      <c r="F63" s="17">
        <v>150</v>
      </c>
      <c r="G63" s="18" t="s">
        <v>423</v>
      </c>
    </row>
    <row r="64" spans="1:7" x14ac:dyDescent="0.2">
      <c r="A64" s="11" t="s">
        <v>165</v>
      </c>
      <c r="B64" s="17">
        <v>0</v>
      </c>
      <c r="C64" s="17">
        <v>0</v>
      </c>
      <c r="D64" s="17">
        <v>0</v>
      </c>
      <c r="E64" s="17">
        <v>0</v>
      </c>
      <c r="F64" s="17">
        <v>0</v>
      </c>
      <c r="G64" s="18">
        <v>0</v>
      </c>
    </row>
    <row r="65" spans="1:7" ht="15" x14ac:dyDescent="0.2">
      <c r="A65" s="19" t="s">
        <v>106</v>
      </c>
      <c r="B65" s="20">
        <f>11070+21892+133747+22840+513039+16478+44135+1918+10296+152928+43099+15717+7671+80063+62663+38268+17934+54271+17911+17352+20658+29869+114946+31635+12471+37365+8179+17890+33546+3121+73765+21039+116998+63978+6723+157961+66977+42765+104476+7057+19400+4608+51775+143120+9980+33669+53612+44227+40834+48460+833+0+0+0+802+0+0+92+0+0</f>
        <v>2706123</v>
      </c>
      <c r="C65" s="20">
        <f>0+0+0+0+0+0+0+0+0+0+0+0+0+0+0+0+0+0+0+0+0+0+0+0+0+0+0+0+0+0+0+0+0+0+0+0+0+0+0+0+0+0+0+0+0+0+0+0+0+0+0+0+0+0+0+0+0+0+0+0</f>
        <v>0</v>
      </c>
      <c r="D65" s="20">
        <f>11704+23145+141399+24147+542391+17421+46661+2027+10885+161677+45564+16616+8110+84644+66248+40457+18960+57376+18936+18345+21840+31578+121523+33445+13185+39502+8647+18914+35466+3299+77985+22242+123692+67638+7107+166999+70809+45212+110453+7461+20510+4872+54737+151308+10551+35595+56680+46757+43170+51232+881+0+0+0+847+0+0+150+0+0</f>
        <v>2861000</v>
      </c>
      <c r="E65" s="20">
        <f>SUM(C65:D65)</f>
        <v>2861000</v>
      </c>
      <c r="F65" s="20" t="s">
        <v>438</v>
      </c>
      <c r="G65" s="21" t="s">
        <v>219</v>
      </c>
    </row>
    <row r="66" spans="1:7" ht="15" customHeight="1" x14ac:dyDescent="0.2">
      <c r="A66" s="72" t="s">
        <v>167</v>
      </c>
      <c r="B66" s="72"/>
      <c r="C66" s="72"/>
      <c r="D66" s="72"/>
      <c r="E66" s="72"/>
      <c r="F66" s="72"/>
      <c r="G66" s="72"/>
    </row>
    <row r="67" spans="1:7" ht="15" customHeight="1" x14ac:dyDescent="0.2">
      <c r="A67" s="73" t="s">
        <v>440</v>
      </c>
      <c r="B67" s="73"/>
      <c r="C67" s="73"/>
      <c r="D67" s="73"/>
      <c r="E67" s="73"/>
      <c r="F67" s="73"/>
      <c r="G67" s="73"/>
    </row>
    <row r="68" spans="1:7" ht="15" customHeight="1" x14ac:dyDescent="0.2">
      <c r="A68" s="65" t="s">
        <v>221</v>
      </c>
      <c r="B68" s="65"/>
      <c r="C68" s="65"/>
      <c r="D68" s="65"/>
      <c r="E68" s="65"/>
      <c r="F68" s="65"/>
      <c r="G68" s="65"/>
    </row>
  </sheetData>
  <mergeCells count="7">
    <mergeCell ref="A68:G68"/>
    <mergeCell ref="A4:A5"/>
    <mergeCell ref="B4:B5"/>
    <mergeCell ref="F4:F5"/>
    <mergeCell ref="G4:G5"/>
    <mergeCell ref="A66:G66"/>
    <mergeCell ref="A67:G67"/>
  </mergeCells>
  <pageMargins left="0.7" right="0.7" top="0.75" bottom="0.75" header="0.3" footer="0.3"/>
  <pageSetup scale="7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199</v>
      </c>
      <c r="B1" s="10"/>
      <c r="C1" s="10"/>
      <c r="D1" s="10"/>
      <c r="E1" s="10"/>
      <c r="F1" s="10"/>
      <c r="G1" s="12" t="s">
        <v>225</v>
      </c>
    </row>
    <row r="2" spans="1:7" x14ac:dyDescent="0.2">
      <c r="A2" s="13" t="s">
        <v>226</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23792</v>
      </c>
      <c r="C6" s="17">
        <v>0</v>
      </c>
      <c r="D6" s="17">
        <v>23764</v>
      </c>
      <c r="E6" s="17">
        <v>23764</v>
      </c>
      <c r="F6" s="17">
        <v>0</v>
      </c>
      <c r="G6" s="18">
        <f>IF(AND(F65&lt;&gt;0,0&lt;&gt;0),IF(100*0/(F65-0)&lt;0.005,"*",100*0/(F65-0)),0)</f>
        <v>0</v>
      </c>
    </row>
    <row r="7" spans="1:7" x14ac:dyDescent="0.2">
      <c r="A7" s="11" t="s">
        <v>108</v>
      </c>
      <c r="B7" s="17">
        <v>3616</v>
      </c>
      <c r="C7" s="17">
        <v>0</v>
      </c>
      <c r="D7" s="17">
        <v>3625</v>
      </c>
      <c r="E7" s="17">
        <v>3625</v>
      </c>
      <c r="F7" s="17">
        <v>0</v>
      </c>
      <c r="G7" s="18">
        <f>IF(AND(F65&lt;&gt;0,0&lt;&gt;0),IF(100*0/(F65-0)&lt;0.005,"*",100*0/(F65-0)),0)</f>
        <v>0</v>
      </c>
    </row>
    <row r="8" spans="1:7" x14ac:dyDescent="0.2">
      <c r="A8" s="11" t="s">
        <v>109</v>
      </c>
      <c r="B8" s="17">
        <v>33434</v>
      </c>
      <c r="C8" s="17">
        <v>0</v>
      </c>
      <c r="D8" s="17">
        <v>33868</v>
      </c>
      <c r="E8" s="17">
        <v>33868</v>
      </c>
      <c r="F8" s="17">
        <v>0</v>
      </c>
      <c r="G8" s="18">
        <f>IF(AND(F65&lt;&gt;0,0&lt;&gt;0),IF(100*0/(F65-0)&lt;0.005,"*",100*0/(F65-0)),0)</f>
        <v>0</v>
      </c>
    </row>
    <row r="9" spans="1:7" x14ac:dyDescent="0.2">
      <c r="A9" s="11" t="s">
        <v>110</v>
      </c>
      <c r="B9" s="17">
        <v>14583</v>
      </c>
      <c r="C9" s="17">
        <v>0</v>
      </c>
      <c r="D9" s="17">
        <v>14602</v>
      </c>
      <c r="E9" s="17">
        <v>14602</v>
      </c>
      <c r="F9" s="17">
        <v>0</v>
      </c>
      <c r="G9" s="18">
        <f>IF(AND(F65&lt;&gt;0,0&lt;&gt;0),IF(100*0/(F65-0)&lt;0.005,"*",100*0/(F65-0)),0)</f>
        <v>0</v>
      </c>
    </row>
    <row r="10" spans="1:7" x14ac:dyDescent="0.2">
      <c r="A10" s="11" t="s">
        <v>111</v>
      </c>
      <c r="B10" s="17">
        <v>191677</v>
      </c>
      <c r="C10" s="17">
        <v>0</v>
      </c>
      <c r="D10" s="17">
        <v>191792</v>
      </c>
      <c r="E10" s="17">
        <v>191792</v>
      </c>
      <c r="F10" s="17">
        <v>0</v>
      </c>
      <c r="G10" s="18">
        <f>IF(AND(F65&lt;&gt;0,0&lt;&gt;0),IF(100*0/(F65-0)&lt;0.005,"*",100*0/(F65-0)),0)</f>
        <v>0</v>
      </c>
    </row>
    <row r="11" spans="1:7" x14ac:dyDescent="0.2">
      <c r="A11" s="11" t="s">
        <v>112</v>
      </c>
      <c r="B11" s="17">
        <v>26719</v>
      </c>
      <c r="C11" s="17">
        <v>0</v>
      </c>
      <c r="D11" s="17">
        <v>27073</v>
      </c>
      <c r="E11" s="17">
        <v>27073</v>
      </c>
      <c r="F11" s="17">
        <v>0</v>
      </c>
      <c r="G11" s="18">
        <f>IF(AND(F65&lt;&gt;0,0&lt;&gt;0),IF(100*0/(F65-0)&lt;0.005,"*",100*0/(F65-0)),0)</f>
        <v>0</v>
      </c>
    </row>
    <row r="12" spans="1:7" x14ac:dyDescent="0.2">
      <c r="A12" s="11" t="s">
        <v>113</v>
      </c>
      <c r="B12" s="17">
        <v>17583</v>
      </c>
      <c r="C12" s="17">
        <v>0</v>
      </c>
      <c r="D12" s="17">
        <v>17476</v>
      </c>
      <c r="E12" s="17">
        <v>17476</v>
      </c>
      <c r="F12" s="17">
        <v>0</v>
      </c>
      <c r="G12" s="18">
        <f>IF(AND(F65&lt;&gt;0,0&lt;&gt;0),IF(100*0/(F65-0)&lt;0.005,"*",100*0/(F65-0)),0)</f>
        <v>0</v>
      </c>
    </row>
    <row r="13" spans="1:7" x14ac:dyDescent="0.2">
      <c r="A13" s="11" t="s">
        <v>114</v>
      </c>
      <c r="B13" s="17">
        <v>4632</v>
      </c>
      <c r="C13" s="17">
        <v>0</v>
      </c>
      <c r="D13" s="17">
        <v>4652</v>
      </c>
      <c r="E13" s="17">
        <v>4652</v>
      </c>
      <c r="F13" s="17">
        <v>0</v>
      </c>
      <c r="G13" s="18">
        <f>IF(AND(F65&lt;&gt;0,0&lt;&gt;0),IF(100*0/(F65-0)&lt;0.005,"*",100*0/(F65-0)),0)</f>
        <v>0</v>
      </c>
    </row>
    <row r="14" spans="1:7" x14ac:dyDescent="0.2">
      <c r="A14" s="11" t="s">
        <v>115</v>
      </c>
      <c r="B14" s="17">
        <v>3292</v>
      </c>
      <c r="C14" s="17">
        <v>0</v>
      </c>
      <c r="D14" s="17">
        <v>3328</v>
      </c>
      <c r="E14" s="17">
        <v>3328</v>
      </c>
      <c r="F14" s="17">
        <v>0</v>
      </c>
      <c r="G14" s="18">
        <f>IF(AND(F65&lt;&gt;0,0&lt;&gt;0),IF(100*0/(F65-0)&lt;0.005,"*",100*0/(F65-0)),0)</f>
        <v>0</v>
      </c>
    </row>
    <row r="15" spans="1:7" x14ac:dyDescent="0.2">
      <c r="A15" s="11" t="s">
        <v>116</v>
      </c>
      <c r="B15" s="17">
        <v>99260</v>
      </c>
      <c r="C15" s="17">
        <v>0</v>
      </c>
      <c r="D15" s="17">
        <v>100722</v>
      </c>
      <c r="E15" s="17">
        <v>100722</v>
      </c>
      <c r="F15" s="17">
        <v>0</v>
      </c>
      <c r="G15" s="18">
        <f>IF(AND(F65&lt;&gt;0,0&lt;&gt;0),IF(100*0/(F65-0)&lt;0.005,"*",100*0/(F65-0)),0)</f>
        <v>0</v>
      </c>
    </row>
    <row r="16" spans="1:7" x14ac:dyDescent="0.2">
      <c r="A16" s="11" t="s">
        <v>117</v>
      </c>
      <c r="B16" s="17">
        <v>50018</v>
      </c>
      <c r="C16" s="17">
        <v>0</v>
      </c>
      <c r="D16" s="17">
        <v>50381</v>
      </c>
      <c r="E16" s="17">
        <v>50381</v>
      </c>
      <c r="F16" s="17">
        <v>0</v>
      </c>
      <c r="G16" s="18">
        <f>IF(AND(F65&lt;&gt;0,0&lt;&gt;0),IF(100*0/(F65-0)&lt;0.005,"*",100*0/(F65-0)),0)</f>
        <v>0</v>
      </c>
    </row>
    <row r="17" spans="1:7" x14ac:dyDescent="0.2">
      <c r="A17" s="11" t="s">
        <v>118</v>
      </c>
      <c r="B17" s="17">
        <v>7010</v>
      </c>
      <c r="C17" s="17">
        <v>0</v>
      </c>
      <c r="D17" s="17">
        <v>6980</v>
      </c>
      <c r="E17" s="17">
        <v>6980</v>
      </c>
      <c r="F17" s="17">
        <v>0</v>
      </c>
      <c r="G17" s="18">
        <f>IF(AND(F65&lt;&gt;0,0&lt;&gt;0),IF(100*0/(F65-0)&lt;0.005,"*",100*0/(F65-0)),0)</f>
        <v>0</v>
      </c>
    </row>
    <row r="18" spans="1:7" x14ac:dyDescent="0.2">
      <c r="A18" s="11" t="s">
        <v>119</v>
      </c>
      <c r="B18" s="17">
        <v>8104</v>
      </c>
      <c r="C18" s="17">
        <v>0</v>
      </c>
      <c r="D18" s="17">
        <v>8224</v>
      </c>
      <c r="E18" s="17">
        <v>8224</v>
      </c>
      <c r="F18" s="17">
        <v>0</v>
      </c>
      <c r="G18" s="18">
        <f>IF(AND(F65&lt;&gt;0,0&lt;&gt;0),IF(100*0/(F65-0)&lt;0.005,"*",100*0/(F65-0)),0)</f>
        <v>0</v>
      </c>
    </row>
    <row r="19" spans="1:7" x14ac:dyDescent="0.2">
      <c r="A19" s="11" t="s">
        <v>120</v>
      </c>
      <c r="B19" s="17">
        <v>62970</v>
      </c>
      <c r="C19" s="17">
        <v>0</v>
      </c>
      <c r="D19" s="17">
        <v>62553</v>
      </c>
      <c r="E19" s="17">
        <v>62553</v>
      </c>
      <c r="F19" s="17">
        <v>0</v>
      </c>
      <c r="G19" s="18">
        <f>IF(AND(F65&lt;&gt;0,0&lt;&gt;0),IF(100*0/(F65-0)&lt;0.005,"*",100*0/(F65-0)),0)</f>
        <v>0</v>
      </c>
    </row>
    <row r="20" spans="1:7" x14ac:dyDescent="0.2">
      <c r="A20" s="11" t="s">
        <v>121</v>
      </c>
      <c r="B20" s="17">
        <v>32414</v>
      </c>
      <c r="C20" s="17">
        <v>0</v>
      </c>
      <c r="D20" s="17">
        <v>32412</v>
      </c>
      <c r="E20" s="17">
        <v>32412</v>
      </c>
      <c r="F20" s="17">
        <v>0</v>
      </c>
      <c r="G20" s="18">
        <f>IF(AND(F65&lt;&gt;0,0&lt;&gt;0),IF(100*0/(F65-0)&lt;0.005,"*",100*0/(F65-0)),0)</f>
        <v>0</v>
      </c>
    </row>
    <row r="21" spans="1:7" x14ac:dyDescent="0.2">
      <c r="A21" s="11" t="s">
        <v>122</v>
      </c>
      <c r="B21" s="17">
        <v>15296</v>
      </c>
      <c r="C21" s="17">
        <v>0</v>
      </c>
      <c r="D21" s="17">
        <v>15317</v>
      </c>
      <c r="E21" s="17">
        <v>15317</v>
      </c>
      <c r="F21" s="17">
        <v>0</v>
      </c>
      <c r="G21" s="18">
        <f>IF(AND(F65&lt;&gt;0,0&lt;&gt;0),IF(100*0/(F65-0)&lt;0.005,"*",100*0/(F65-0)),0)</f>
        <v>0</v>
      </c>
    </row>
    <row r="22" spans="1:7" x14ac:dyDescent="0.2">
      <c r="A22" s="11" t="s">
        <v>123</v>
      </c>
      <c r="B22" s="17">
        <v>14257</v>
      </c>
      <c r="C22" s="17">
        <v>0</v>
      </c>
      <c r="D22" s="17">
        <v>14206</v>
      </c>
      <c r="E22" s="17">
        <v>14206</v>
      </c>
      <c r="F22" s="17">
        <v>0</v>
      </c>
      <c r="G22" s="18">
        <f>IF(AND(F65&lt;&gt;0,0&lt;&gt;0),IF(100*0/(F65-0)&lt;0.005,"*",100*0/(F65-0)),0)</f>
        <v>0</v>
      </c>
    </row>
    <row r="23" spans="1:7" x14ac:dyDescent="0.2">
      <c r="A23" s="11" t="s">
        <v>124</v>
      </c>
      <c r="B23" s="17">
        <v>21668</v>
      </c>
      <c r="C23" s="17">
        <v>0</v>
      </c>
      <c r="D23" s="17">
        <v>21681</v>
      </c>
      <c r="E23" s="17">
        <v>21681</v>
      </c>
      <c r="F23" s="17">
        <v>0</v>
      </c>
      <c r="G23" s="18">
        <f>IF(AND(F65&lt;&gt;0,0&lt;&gt;0),IF(100*0/(F65-0)&lt;0.005,"*",100*0/(F65-0)),0)</f>
        <v>0</v>
      </c>
    </row>
    <row r="24" spans="1:7" x14ac:dyDescent="0.2">
      <c r="A24" s="11" t="s">
        <v>125</v>
      </c>
      <c r="B24" s="17">
        <v>22871</v>
      </c>
      <c r="C24" s="17">
        <v>0</v>
      </c>
      <c r="D24" s="17">
        <v>22876</v>
      </c>
      <c r="E24" s="17">
        <v>22876</v>
      </c>
      <c r="F24" s="17">
        <v>0</v>
      </c>
      <c r="G24" s="18">
        <f>IF(AND(F65&lt;&gt;0,0&lt;&gt;0),IF(100*0/(F65-0)&lt;0.005,"*",100*0/(F65-0)),0)</f>
        <v>0</v>
      </c>
    </row>
    <row r="25" spans="1:7" x14ac:dyDescent="0.2">
      <c r="A25" s="11" t="s">
        <v>126</v>
      </c>
      <c r="B25" s="17">
        <v>6509</v>
      </c>
      <c r="C25" s="17">
        <v>0</v>
      </c>
      <c r="D25" s="17">
        <v>6506</v>
      </c>
      <c r="E25" s="17">
        <v>6506</v>
      </c>
      <c r="F25" s="17">
        <v>0</v>
      </c>
      <c r="G25" s="18">
        <f>IF(AND(F65&lt;&gt;0,0&lt;&gt;0),IF(100*0/(F65-0)&lt;0.005,"*",100*0/(F65-0)),0)</f>
        <v>0</v>
      </c>
    </row>
    <row r="26" spans="1:7" x14ac:dyDescent="0.2">
      <c r="A26" s="11" t="s">
        <v>127</v>
      </c>
      <c r="B26" s="17">
        <v>29411</v>
      </c>
      <c r="C26" s="17">
        <v>0</v>
      </c>
      <c r="D26" s="17">
        <v>29399</v>
      </c>
      <c r="E26" s="17">
        <v>29399</v>
      </c>
      <c r="F26" s="17">
        <v>0</v>
      </c>
      <c r="G26" s="18">
        <f>IF(AND(F65&lt;&gt;0,0&lt;&gt;0),IF(100*0/(F65-0)&lt;0.005,"*",100*0/(F65-0)),0)</f>
        <v>0</v>
      </c>
    </row>
    <row r="27" spans="1:7" x14ac:dyDescent="0.2">
      <c r="A27" s="11" t="s">
        <v>128</v>
      </c>
      <c r="B27" s="17">
        <v>33270</v>
      </c>
      <c r="C27" s="17">
        <v>0</v>
      </c>
      <c r="D27" s="17">
        <v>33285</v>
      </c>
      <c r="E27" s="17">
        <v>33285</v>
      </c>
      <c r="F27" s="17">
        <v>0</v>
      </c>
      <c r="G27" s="18">
        <f>IF(AND(F65&lt;&gt;0,0&lt;&gt;0),IF(100*0/(F65-0)&lt;0.005,"*",100*0/(F65-0)),0)</f>
        <v>0</v>
      </c>
    </row>
    <row r="28" spans="1:7" x14ac:dyDescent="0.2">
      <c r="A28" s="11" t="s">
        <v>129</v>
      </c>
      <c r="B28" s="17">
        <v>48587</v>
      </c>
      <c r="C28" s="17">
        <v>0</v>
      </c>
      <c r="D28" s="17">
        <v>48514</v>
      </c>
      <c r="E28" s="17">
        <v>48514</v>
      </c>
      <c r="F28" s="17">
        <v>0</v>
      </c>
      <c r="G28" s="18">
        <f>IF(AND(F65&lt;&gt;0,0&lt;&gt;0),IF(100*0/(F65-0)&lt;0.005,"*",100*0/(F65-0)),0)</f>
        <v>0</v>
      </c>
    </row>
    <row r="29" spans="1:7" x14ac:dyDescent="0.2">
      <c r="A29" s="11" t="s">
        <v>130</v>
      </c>
      <c r="B29" s="17">
        <v>26880</v>
      </c>
      <c r="C29" s="17">
        <v>0</v>
      </c>
      <c r="D29" s="17">
        <v>26973</v>
      </c>
      <c r="E29" s="17">
        <v>26973</v>
      </c>
      <c r="F29" s="17">
        <v>0</v>
      </c>
      <c r="G29" s="18">
        <f>IF(AND(F65&lt;&gt;0,0&lt;&gt;0),IF(100*0/(F65-0)&lt;0.005,"*",100*0/(F65-0)),0)</f>
        <v>0</v>
      </c>
    </row>
    <row r="30" spans="1:7" x14ac:dyDescent="0.2">
      <c r="A30" s="11" t="s">
        <v>131</v>
      </c>
      <c r="B30" s="17">
        <v>14652</v>
      </c>
      <c r="C30" s="17">
        <v>0</v>
      </c>
      <c r="D30" s="17">
        <v>14604</v>
      </c>
      <c r="E30" s="17">
        <v>14604</v>
      </c>
      <c r="F30" s="17">
        <v>0</v>
      </c>
      <c r="G30" s="18">
        <f>IF(AND(F65&lt;&gt;0,0&lt;&gt;0),IF(100*0/(F65-0)&lt;0.005,"*",100*0/(F65-0)),0)</f>
        <v>0</v>
      </c>
    </row>
    <row r="31" spans="1:7" x14ac:dyDescent="0.2">
      <c r="A31" s="11" t="s">
        <v>132</v>
      </c>
      <c r="B31" s="17">
        <v>29789</v>
      </c>
      <c r="C31" s="17">
        <v>0</v>
      </c>
      <c r="D31" s="17">
        <v>29773</v>
      </c>
      <c r="E31" s="17">
        <v>29773</v>
      </c>
      <c r="F31" s="17">
        <v>0</v>
      </c>
      <c r="G31" s="18">
        <f>IF(AND(F65&lt;&gt;0,0&lt;&gt;0),IF(100*0/(F65-0)&lt;0.005,"*",100*0/(F65-0)),0)</f>
        <v>0</v>
      </c>
    </row>
    <row r="32" spans="1:7" x14ac:dyDescent="0.2">
      <c r="A32" s="11" t="s">
        <v>133</v>
      </c>
      <c r="B32" s="17">
        <v>5058</v>
      </c>
      <c r="C32" s="17">
        <v>0</v>
      </c>
      <c r="D32" s="17">
        <v>5094</v>
      </c>
      <c r="E32" s="17">
        <v>5094</v>
      </c>
      <c r="F32" s="17">
        <v>0</v>
      </c>
      <c r="G32" s="18">
        <f>IF(AND(F65&lt;&gt;0,0&lt;&gt;0),IF(100*0/(F65-0)&lt;0.005,"*",100*0/(F65-0)),0)</f>
        <v>0</v>
      </c>
    </row>
    <row r="33" spans="1:7" x14ac:dyDescent="0.2">
      <c r="A33" s="11" t="s">
        <v>134</v>
      </c>
      <c r="B33" s="17">
        <v>9285</v>
      </c>
      <c r="C33" s="17">
        <v>0</v>
      </c>
      <c r="D33" s="17">
        <v>9319</v>
      </c>
      <c r="E33" s="17">
        <v>9319</v>
      </c>
      <c r="F33" s="17">
        <v>0</v>
      </c>
      <c r="G33" s="18">
        <f>IF(AND(F65&lt;&gt;0,0&lt;&gt;0),IF(100*0/(F65-0)&lt;0.005,"*",100*0/(F65-0)),0)</f>
        <v>0</v>
      </c>
    </row>
    <row r="34" spans="1:7" x14ac:dyDescent="0.2">
      <c r="A34" s="11" t="s">
        <v>135</v>
      </c>
      <c r="B34" s="17">
        <v>14155</v>
      </c>
      <c r="C34" s="17">
        <v>0</v>
      </c>
      <c r="D34" s="17">
        <v>14366</v>
      </c>
      <c r="E34" s="17">
        <v>14366</v>
      </c>
      <c r="F34" s="17">
        <v>0</v>
      </c>
      <c r="G34" s="18">
        <f>IF(AND(F65&lt;&gt;0,0&lt;&gt;0),IF(100*0/(F65-0)&lt;0.005,"*",100*0/(F65-0)),0)</f>
        <v>0</v>
      </c>
    </row>
    <row r="35" spans="1:7" x14ac:dyDescent="0.2">
      <c r="A35" s="11" t="s">
        <v>136</v>
      </c>
      <c r="B35" s="17">
        <v>6515</v>
      </c>
      <c r="C35" s="17">
        <v>0</v>
      </c>
      <c r="D35" s="17">
        <v>6522</v>
      </c>
      <c r="E35" s="17">
        <v>6522</v>
      </c>
      <c r="F35" s="17">
        <v>0</v>
      </c>
      <c r="G35" s="18">
        <f>IF(AND(F65&lt;&gt;0,0&lt;&gt;0),IF(100*0/(F65-0)&lt;0.005,"*",100*0/(F65-0)),0)</f>
        <v>0</v>
      </c>
    </row>
    <row r="36" spans="1:7" x14ac:dyDescent="0.2">
      <c r="A36" s="11" t="s">
        <v>137</v>
      </c>
      <c r="B36" s="17">
        <v>43864</v>
      </c>
      <c r="C36" s="17">
        <v>0</v>
      </c>
      <c r="D36" s="17">
        <v>43706</v>
      </c>
      <c r="E36" s="17">
        <v>43706</v>
      </c>
      <c r="F36" s="17">
        <v>0</v>
      </c>
      <c r="G36" s="18">
        <f>IF(AND(F65&lt;&gt;0,0&lt;&gt;0),IF(100*0/(F65-0)&lt;0.005,"*",100*0/(F65-0)),0)</f>
        <v>0</v>
      </c>
    </row>
    <row r="37" spans="1:7" x14ac:dyDescent="0.2">
      <c r="A37" s="11" t="s">
        <v>138</v>
      </c>
      <c r="B37" s="17">
        <v>10210</v>
      </c>
      <c r="C37" s="17">
        <v>0</v>
      </c>
      <c r="D37" s="17">
        <v>10169</v>
      </c>
      <c r="E37" s="17">
        <v>10169</v>
      </c>
      <c r="F37" s="17">
        <v>0</v>
      </c>
      <c r="G37" s="18">
        <f>IF(AND(F65&lt;&gt;0,0&lt;&gt;0),IF(100*0/(F65-0)&lt;0.005,"*",100*0/(F65-0)),0)</f>
        <v>0</v>
      </c>
    </row>
    <row r="38" spans="1:7" x14ac:dyDescent="0.2">
      <c r="A38" s="11" t="s">
        <v>139</v>
      </c>
      <c r="B38" s="17">
        <v>96932</v>
      </c>
      <c r="C38" s="17">
        <v>0</v>
      </c>
      <c r="D38" s="17">
        <v>96483</v>
      </c>
      <c r="E38" s="17">
        <v>96483</v>
      </c>
      <c r="F38" s="17">
        <v>0</v>
      </c>
      <c r="G38" s="18">
        <f>IF(AND(F65&lt;&gt;0,0&lt;&gt;0),IF(100*0/(F65-0)&lt;0.005,"*",100*0/(F65-0)),0)</f>
        <v>0</v>
      </c>
    </row>
    <row r="39" spans="1:7" x14ac:dyDescent="0.2">
      <c r="A39" s="11" t="s">
        <v>140</v>
      </c>
      <c r="B39" s="17">
        <v>49176</v>
      </c>
      <c r="C39" s="17">
        <v>0</v>
      </c>
      <c r="D39" s="17">
        <v>49581</v>
      </c>
      <c r="E39" s="17">
        <v>49581</v>
      </c>
      <c r="F39" s="17">
        <v>0</v>
      </c>
      <c r="G39" s="18">
        <f>IF(AND(F65&lt;&gt;0,0&lt;&gt;0),IF(100*0/(F65-0)&lt;0.005,"*",100*0/(F65-0)),0)</f>
        <v>0</v>
      </c>
    </row>
    <row r="40" spans="1:7" x14ac:dyDescent="0.2">
      <c r="A40" s="11" t="s">
        <v>141</v>
      </c>
      <c r="B40" s="17">
        <v>3706</v>
      </c>
      <c r="C40" s="17">
        <v>0</v>
      </c>
      <c r="D40" s="17">
        <v>3704</v>
      </c>
      <c r="E40" s="17">
        <v>3704</v>
      </c>
      <c r="F40" s="17">
        <v>0</v>
      </c>
      <c r="G40" s="18">
        <f>IF(AND(F65&lt;&gt;0,0&lt;&gt;0),IF(100*0/(F65-0)&lt;0.005,"*",100*0/(F65-0)),0)</f>
        <v>0</v>
      </c>
    </row>
    <row r="41" spans="1:7" x14ac:dyDescent="0.2">
      <c r="A41" s="11" t="s">
        <v>142</v>
      </c>
      <c r="B41" s="17">
        <v>56866</v>
      </c>
      <c r="C41" s="17">
        <v>0</v>
      </c>
      <c r="D41" s="17">
        <v>56752</v>
      </c>
      <c r="E41" s="17">
        <v>56752</v>
      </c>
      <c r="F41" s="17">
        <v>0</v>
      </c>
      <c r="G41" s="18">
        <f>IF(AND(F65&lt;&gt;0,0&lt;&gt;0),IF(100*0/(F65-0)&lt;0.005,"*",100*0/(F65-0)),0)</f>
        <v>0</v>
      </c>
    </row>
    <row r="42" spans="1:7" x14ac:dyDescent="0.2">
      <c r="A42" s="11" t="s">
        <v>143</v>
      </c>
      <c r="B42" s="17">
        <v>19152</v>
      </c>
      <c r="C42" s="17">
        <v>0</v>
      </c>
      <c r="D42" s="17">
        <v>19172</v>
      </c>
      <c r="E42" s="17">
        <v>19172</v>
      </c>
      <c r="F42" s="17">
        <v>0</v>
      </c>
      <c r="G42" s="18">
        <f>IF(AND(F65&lt;&gt;0,0&lt;&gt;0),IF(100*0/(F65-0)&lt;0.005,"*",100*0/(F65-0)),0)</f>
        <v>0</v>
      </c>
    </row>
    <row r="43" spans="1:7" x14ac:dyDescent="0.2">
      <c r="A43" s="11" t="s">
        <v>144</v>
      </c>
      <c r="B43" s="17">
        <v>19728</v>
      </c>
      <c r="C43" s="17">
        <v>0</v>
      </c>
      <c r="D43" s="17">
        <v>20002</v>
      </c>
      <c r="E43" s="17">
        <v>20002</v>
      </c>
      <c r="F43" s="17">
        <v>0</v>
      </c>
      <c r="G43" s="18">
        <f>IF(AND(F65&lt;&gt;0,0&lt;&gt;0),IF(100*0/(F65-0)&lt;0.005,"*",100*0/(F65-0)),0)</f>
        <v>0</v>
      </c>
    </row>
    <row r="44" spans="1:7" x14ac:dyDescent="0.2">
      <c r="A44" s="11" t="s">
        <v>145</v>
      </c>
      <c r="B44" s="17">
        <v>62689</v>
      </c>
      <c r="C44" s="17">
        <v>0</v>
      </c>
      <c r="D44" s="17">
        <v>62469</v>
      </c>
      <c r="E44" s="17">
        <v>62469</v>
      </c>
      <c r="F44" s="17">
        <v>0</v>
      </c>
      <c r="G44" s="18">
        <f>IF(AND(F65&lt;&gt;0,0&lt;&gt;0),IF(100*0/(F65-0)&lt;0.005,"*",100*0/(F65-0)),0)</f>
        <v>0</v>
      </c>
    </row>
    <row r="45" spans="1:7" x14ac:dyDescent="0.2">
      <c r="A45" s="11" t="s">
        <v>146</v>
      </c>
      <c r="B45" s="17">
        <v>5172</v>
      </c>
      <c r="C45" s="17">
        <v>0</v>
      </c>
      <c r="D45" s="17">
        <v>5162</v>
      </c>
      <c r="E45" s="17">
        <v>5162</v>
      </c>
      <c r="F45" s="17">
        <v>0</v>
      </c>
      <c r="G45" s="18">
        <f>IF(AND(F65&lt;&gt;0,0&lt;&gt;0),IF(100*0/(F65-0)&lt;0.005,"*",100*0/(F65-0)),0)</f>
        <v>0</v>
      </c>
    </row>
    <row r="46" spans="1:7" x14ac:dyDescent="0.2">
      <c r="A46" s="11" t="s">
        <v>147</v>
      </c>
      <c r="B46" s="17">
        <v>23974</v>
      </c>
      <c r="C46" s="17">
        <v>0</v>
      </c>
      <c r="D46" s="17">
        <v>24242</v>
      </c>
      <c r="E46" s="17">
        <v>24242</v>
      </c>
      <c r="F46" s="17">
        <v>0</v>
      </c>
      <c r="G46" s="18">
        <f>IF(AND(F65&lt;&gt;0,0&lt;&gt;0),IF(100*0/(F65-0)&lt;0.005,"*",100*0/(F65-0)),0)</f>
        <v>0</v>
      </c>
    </row>
    <row r="47" spans="1:7" x14ac:dyDescent="0.2">
      <c r="A47" s="11" t="s">
        <v>148</v>
      </c>
      <c r="B47" s="17">
        <v>4204</v>
      </c>
      <c r="C47" s="17">
        <v>0</v>
      </c>
      <c r="D47" s="17">
        <v>4229</v>
      </c>
      <c r="E47" s="17">
        <v>4229</v>
      </c>
      <c r="F47" s="17">
        <v>0</v>
      </c>
      <c r="G47" s="18">
        <f>IF(AND(F65&lt;&gt;0,0&lt;&gt;0),IF(100*0/(F65-0)&lt;0.005,"*",100*0/(F65-0)),0)</f>
        <v>0</v>
      </c>
    </row>
    <row r="48" spans="1:7" x14ac:dyDescent="0.2">
      <c r="A48" s="11" t="s">
        <v>149</v>
      </c>
      <c r="B48" s="17">
        <v>32319</v>
      </c>
      <c r="C48" s="17">
        <v>0</v>
      </c>
      <c r="D48" s="17">
        <v>32500</v>
      </c>
      <c r="E48" s="17">
        <v>32500</v>
      </c>
      <c r="F48" s="17">
        <v>0</v>
      </c>
      <c r="G48" s="18">
        <f>IF(AND(F65&lt;&gt;0,0&lt;&gt;0),IF(100*0/(F65-0)&lt;0.005,"*",100*0/(F65-0)),0)</f>
        <v>0</v>
      </c>
    </row>
    <row r="49" spans="1:7" x14ac:dyDescent="0.2">
      <c r="A49" s="11" t="s">
        <v>150</v>
      </c>
      <c r="B49" s="17">
        <v>134505</v>
      </c>
      <c r="C49" s="17">
        <v>0</v>
      </c>
      <c r="D49" s="17">
        <v>136149</v>
      </c>
      <c r="E49" s="17">
        <v>136149</v>
      </c>
      <c r="F49" s="17">
        <v>0</v>
      </c>
      <c r="G49" s="18">
        <f>IF(AND(F65&lt;&gt;0,0&lt;&gt;0),IF(100*0/(F65-0)&lt;0.005,"*",100*0/(F65-0)),0)</f>
        <v>0</v>
      </c>
    </row>
    <row r="50" spans="1:7" x14ac:dyDescent="0.2">
      <c r="A50" s="11" t="s">
        <v>151</v>
      </c>
      <c r="B50" s="17">
        <v>14670</v>
      </c>
      <c r="C50" s="17">
        <v>0</v>
      </c>
      <c r="D50" s="17">
        <v>14909</v>
      </c>
      <c r="E50" s="17">
        <v>14909</v>
      </c>
      <c r="F50" s="17">
        <v>0</v>
      </c>
      <c r="G50" s="18">
        <f>IF(AND(F65&lt;&gt;0,0&lt;&gt;0),IF(100*0/(F65-0)&lt;0.005,"*",100*0/(F65-0)),0)</f>
        <v>0</v>
      </c>
    </row>
    <row r="51" spans="1:7" x14ac:dyDescent="0.2">
      <c r="A51" s="11" t="s">
        <v>152</v>
      </c>
      <c r="B51" s="17">
        <v>3065</v>
      </c>
      <c r="C51" s="17">
        <v>0</v>
      </c>
      <c r="D51" s="17">
        <v>3052</v>
      </c>
      <c r="E51" s="17">
        <v>3052</v>
      </c>
      <c r="F51" s="17">
        <v>0</v>
      </c>
      <c r="G51" s="18">
        <f>IF(AND(F65&lt;&gt;0,0&lt;&gt;0),IF(100*0/(F65-0)&lt;0.005,"*",100*0/(F65-0)),0)</f>
        <v>0</v>
      </c>
    </row>
    <row r="52" spans="1:7" x14ac:dyDescent="0.2">
      <c r="A52" s="11" t="s">
        <v>153</v>
      </c>
      <c r="B52" s="17">
        <v>41048</v>
      </c>
      <c r="C52" s="17">
        <v>0</v>
      </c>
      <c r="D52" s="17">
        <v>41103</v>
      </c>
      <c r="E52" s="17">
        <v>41103</v>
      </c>
      <c r="F52" s="17">
        <v>0</v>
      </c>
      <c r="G52" s="18">
        <f>IF(AND(F65&lt;&gt;0,0&lt;&gt;0),IF(100*0/(F65-0)&lt;0.005,"*",100*0/(F65-0)),0)</f>
        <v>0</v>
      </c>
    </row>
    <row r="53" spans="1:7" x14ac:dyDescent="0.2">
      <c r="A53" s="11" t="s">
        <v>154</v>
      </c>
      <c r="B53" s="17">
        <v>35110</v>
      </c>
      <c r="C53" s="17">
        <v>0</v>
      </c>
      <c r="D53" s="17">
        <v>35612</v>
      </c>
      <c r="E53" s="17">
        <v>35612</v>
      </c>
      <c r="F53" s="17">
        <v>0</v>
      </c>
      <c r="G53" s="18">
        <f>IF(AND(F65&lt;&gt;0,0&lt;&gt;0),IF(100*0/(F65-0)&lt;0.005,"*",100*0/(F65-0)),0)</f>
        <v>0</v>
      </c>
    </row>
    <row r="54" spans="1:7" x14ac:dyDescent="0.2">
      <c r="A54" s="11" t="s">
        <v>155</v>
      </c>
      <c r="B54" s="17">
        <v>9030</v>
      </c>
      <c r="C54" s="17">
        <v>0</v>
      </c>
      <c r="D54" s="17">
        <v>8947</v>
      </c>
      <c r="E54" s="17">
        <v>8947</v>
      </c>
      <c r="F54" s="17">
        <v>0</v>
      </c>
      <c r="G54" s="18">
        <f>IF(AND(F65&lt;&gt;0,0&lt;&gt;0),IF(100*0/(F65-0)&lt;0.005,"*",100*0/(F65-0)),0)</f>
        <v>0</v>
      </c>
    </row>
    <row r="55" spans="1:7" x14ac:dyDescent="0.2">
      <c r="A55" s="11" t="s">
        <v>156</v>
      </c>
      <c r="B55" s="17">
        <v>28260</v>
      </c>
      <c r="C55" s="17">
        <v>0</v>
      </c>
      <c r="D55" s="17">
        <v>28237</v>
      </c>
      <c r="E55" s="17">
        <v>28237</v>
      </c>
      <c r="F55" s="17">
        <v>0</v>
      </c>
      <c r="G55" s="18">
        <f>IF(AND(F65&lt;&gt;0,0&lt;&gt;0),IF(100*0/(F65-0)&lt;0.005,"*",100*0/(F65-0)),0)</f>
        <v>0</v>
      </c>
    </row>
    <row r="56" spans="1:7" x14ac:dyDescent="0.2">
      <c r="A56" s="11" t="s">
        <v>157</v>
      </c>
      <c r="B56" s="17">
        <v>2870</v>
      </c>
      <c r="C56" s="17">
        <v>0</v>
      </c>
      <c r="D56" s="17">
        <v>2861</v>
      </c>
      <c r="E56" s="17">
        <v>2861</v>
      </c>
      <c r="F56" s="17">
        <v>0</v>
      </c>
      <c r="G56" s="18">
        <f>IF(AND(F65&lt;&gt;0,0&lt;&gt;0),IF(100*0/(F65-0)&lt;0.005,"*",100*0/(F65-0)),0)</f>
        <v>0</v>
      </c>
    </row>
    <row r="57" spans="1:7" x14ac:dyDescent="0.2">
      <c r="A57" s="11" t="s">
        <v>158</v>
      </c>
      <c r="B57" s="17">
        <v>56</v>
      </c>
      <c r="C57" s="17">
        <v>0</v>
      </c>
      <c r="D57" s="17">
        <v>56</v>
      </c>
      <c r="E57" s="17">
        <v>56</v>
      </c>
      <c r="F57" s="17">
        <v>0</v>
      </c>
      <c r="G57" s="18">
        <f>IF(AND(F65&lt;&gt;0,0&lt;&gt;0),IF(100*0/(F65-0)&lt;0.005,"*",100*0/(F65-0)),0)</f>
        <v>0</v>
      </c>
    </row>
    <row r="58" spans="1:7" x14ac:dyDescent="0.2">
      <c r="A58" s="11" t="s">
        <v>159</v>
      </c>
      <c r="B58" s="17">
        <v>273</v>
      </c>
      <c r="C58" s="17">
        <v>0</v>
      </c>
      <c r="D58" s="17">
        <v>274</v>
      </c>
      <c r="E58" s="17">
        <v>274</v>
      </c>
      <c r="F58" s="17">
        <v>0</v>
      </c>
      <c r="G58" s="18">
        <f>IF(AND(F65&lt;&gt;0,0&lt;&gt;0),IF(100*0/(F65-0)&lt;0.005,"*",100*0/(F65-0)),0)</f>
        <v>0</v>
      </c>
    </row>
    <row r="59" spans="1:7" x14ac:dyDescent="0.2">
      <c r="A59" s="11" t="s">
        <v>160</v>
      </c>
      <c r="B59" s="17">
        <v>55</v>
      </c>
      <c r="C59" s="17">
        <v>0</v>
      </c>
      <c r="D59" s="17">
        <v>55</v>
      </c>
      <c r="E59" s="17">
        <v>55</v>
      </c>
      <c r="F59" s="17">
        <v>0</v>
      </c>
      <c r="G59" s="18">
        <f>IF(AND(F65&lt;&gt;0,0&lt;&gt;0),IF(100*0/(F65-0)&lt;0.005,"*",100*0/(F65-0)),0)</f>
        <v>0</v>
      </c>
    </row>
    <row r="60" spans="1:7" x14ac:dyDescent="0.2">
      <c r="A60" s="11" t="s">
        <v>161</v>
      </c>
      <c r="B60" s="17">
        <v>8186</v>
      </c>
      <c r="C60" s="17">
        <v>0</v>
      </c>
      <c r="D60" s="17">
        <v>8213</v>
      </c>
      <c r="E60" s="17">
        <v>8213</v>
      </c>
      <c r="F60" s="17">
        <v>0</v>
      </c>
      <c r="G60" s="18">
        <f>IF(AND(F65&lt;&gt;0,0&lt;&gt;0),IF(100*0/(F65-0)&lt;0.005,"*",100*0/(F65-0)),0)</f>
        <v>0</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273</v>
      </c>
      <c r="C62" s="17">
        <v>0</v>
      </c>
      <c r="D62" s="17">
        <v>274</v>
      </c>
      <c r="E62" s="17">
        <v>274</v>
      </c>
      <c r="F62" s="17">
        <v>0</v>
      </c>
      <c r="G62" s="18">
        <f>IF(AND(F65&lt;&gt;0,0&lt;&gt;0),IF(100*0/(F65-0)&lt;0.005,"*",100*0/(F65-0)),0)</f>
        <v>0</v>
      </c>
    </row>
    <row r="63" spans="1:7" x14ac:dyDescent="0.2">
      <c r="A63" s="11" t="s">
        <v>164</v>
      </c>
      <c r="B63" s="17">
        <v>0</v>
      </c>
      <c r="C63" s="17">
        <v>0</v>
      </c>
      <c r="D63" s="17">
        <v>0</v>
      </c>
      <c r="E63" s="17">
        <v>0</v>
      </c>
      <c r="F63" s="17">
        <v>0</v>
      </c>
      <c r="G63" s="18">
        <f>IF(AND(F65&lt;&gt;0,0&lt;&gt;0),IF(100*0/(F65-0)&lt;0.005,"*",100*0/(F65-0)),0)</f>
        <v>0</v>
      </c>
    </row>
    <row r="64" spans="1:7" x14ac:dyDescent="0.2">
      <c r="A64" s="11" t="s">
        <v>165</v>
      </c>
      <c r="B64" s="17">
        <v>0</v>
      </c>
      <c r="C64" s="17">
        <v>0</v>
      </c>
      <c r="D64" s="17">
        <v>0</v>
      </c>
      <c r="E64" s="17">
        <v>0</v>
      </c>
      <c r="F64" s="17">
        <v>0</v>
      </c>
      <c r="G64" s="18">
        <v>0</v>
      </c>
    </row>
    <row r="65" spans="1:7" ht="15" customHeight="1" x14ac:dyDescent="0.2">
      <c r="A65" s="19" t="s">
        <v>106</v>
      </c>
      <c r="B65" s="20">
        <f>23792+3616+33434+14583+191677+26719+17583+4632+3292+99260+50018+7010+8104+62970+32414+15296+14257+21668+22871+6509+29411+33270+48587+26880+14652+29789+5058+9285+14155+6515+43864+10210+96932+49176+3706+56866+19152+19728+62689+5172+23974+4204+32319+134505+14670+3065+41048+35110+9030+28260+2870+56+273+55+8186+0+273+0+0+0</f>
        <v>1582700</v>
      </c>
      <c r="C65" s="20">
        <f>0+0+0+0+0+0+0+0+0+0+0+0+0+0+0+0+0+0+0+0+0+0+0+0+0+0+0+0+0+0+0+0+0+0+0+0+0+0+0+0+0+0+0+0+0+0+0+0+0+0+0+0+0+0+0+0+0+0+0+0</f>
        <v>0</v>
      </c>
      <c r="D65" s="20">
        <f>23764+3625+33868+14602+191792+27073+17476+4652+3328+100722+50381+6980+8224+62553+32412+15317+14206+21681+22876+6506+29399+33285+48514+26973+14604+29773+5094+9319+14366+6522+43706+10169+96483+49581+3704+56752+19172+20002+62469+5162+24242+4229+32500+136149+14909+3052+41103+35612+8947+28237+2861+56+274+55+8213+0+274+0+0+0</f>
        <v>1587800</v>
      </c>
      <c r="E65" s="20">
        <f>SUM(C65:D65)</f>
        <v>1587800</v>
      </c>
      <c r="F65" s="20">
        <f>0+0+0+0+0+0+0+0+0+0+0+0+0+0+0+0+0+0+0+0+0+0+0+0+0+0+0+0+0+0+0+0+0+0+0+0+0+0+0+0+0+0+0+0+0+0+0+0+0+0+0+0+0+0+0+0+0+0+0+0</f>
        <v>0</v>
      </c>
      <c r="G65" s="22" t="s">
        <v>180</v>
      </c>
    </row>
  </sheetData>
  <mergeCells count="4">
    <mergeCell ref="A4:A5"/>
    <mergeCell ref="B4:B5"/>
    <mergeCell ref="F4:F5"/>
    <mergeCell ref="G4:G5"/>
  </mergeCells>
  <pageMargins left="0.7" right="0.7" top="0.75" bottom="0.75" header="0.3" footer="0.3"/>
  <pageSetup scale="8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227</v>
      </c>
      <c r="B1" s="10"/>
      <c r="C1" s="10"/>
      <c r="D1" s="10"/>
      <c r="E1" s="10"/>
      <c r="F1" s="10"/>
      <c r="G1" s="12" t="s">
        <v>228</v>
      </c>
    </row>
    <row r="2" spans="1:7" x14ac:dyDescent="0.2">
      <c r="A2" s="13" t="s">
        <v>229</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22437</v>
      </c>
      <c r="C6" s="17">
        <v>0</v>
      </c>
      <c r="D6" s="17">
        <v>0</v>
      </c>
      <c r="E6" s="17">
        <v>0</v>
      </c>
      <c r="F6" s="17">
        <v>0</v>
      </c>
      <c r="G6" s="18">
        <f>IF(AND(F65&lt;&gt;1315005,0&lt;&gt;0),IF(100*0/(F65-1315005)&lt;0.005,"*",100*0/(F65-1315005)),0)</f>
        <v>0</v>
      </c>
    </row>
    <row r="7" spans="1:7" x14ac:dyDescent="0.2">
      <c r="A7" s="11" t="s">
        <v>108</v>
      </c>
      <c r="B7" s="17">
        <v>1220</v>
      </c>
      <c r="C7" s="17">
        <v>0</v>
      </c>
      <c r="D7" s="17">
        <v>0</v>
      </c>
      <c r="E7" s="17">
        <v>0</v>
      </c>
      <c r="F7" s="17">
        <v>0</v>
      </c>
      <c r="G7" s="18">
        <f>IF(AND(F65&lt;&gt;1315005,0&lt;&gt;0),IF(100*0/(F65-1315005)&lt;0.005,"*",100*0/(F65-1315005)),0)</f>
        <v>0</v>
      </c>
    </row>
    <row r="8" spans="1:7" x14ac:dyDescent="0.2">
      <c r="A8" s="11" t="s">
        <v>109</v>
      </c>
      <c r="B8" s="17">
        <v>15787</v>
      </c>
      <c r="C8" s="17">
        <v>0</v>
      </c>
      <c r="D8" s="17">
        <v>0</v>
      </c>
      <c r="E8" s="17">
        <v>0</v>
      </c>
      <c r="F8" s="17">
        <v>0</v>
      </c>
      <c r="G8" s="18">
        <f>IF(AND(F65&lt;&gt;1315005,0&lt;&gt;0),IF(100*0/(F65-1315005)&lt;0.005,"*",100*0/(F65-1315005)),0)</f>
        <v>0</v>
      </c>
    </row>
    <row r="9" spans="1:7" x14ac:dyDescent="0.2">
      <c r="A9" s="11" t="s">
        <v>110</v>
      </c>
      <c r="B9" s="17">
        <v>7745</v>
      </c>
      <c r="C9" s="17">
        <v>0</v>
      </c>
      <c r="D9" s="17">
        <v>0</v>
      </c>
      <c r="E9" s="17">
        <v>0</v>
      </c>
      <c r="F9" s="17">
        <v>0</v>
      </c>
      <c r="G9" s="18">
        <f>IF(AND(F65&lt;&gt;1315005,0&lt;&gt;0),IF(100*0/(F65-1315005)&lt;0.005,"*",100*0/(F65-1315005)),0)</f>
        <v>0</v>
      </c>
    </row>
    <row r="10" spans="1:7" x14ac:dyDescent="0.2">
      <c r="A10" s="11" t="s">
        <v>111</v>
      </c>
      <c r="B10" s="17">
        <v>181551</v>
      </c>
      <c r="C10" s="17">
        <v>0</v>
      </c>
      <c r="D10" s="17">
        <v>0</v>
      </c>
      <c r="E10" s="17">
        <v>0</v>
      </c>
      <c r="F10" s="17">
        <v>0</v>
      </c>
      <c r="G10" s="18">
        <f>IF(AND(F65&lt;&gt;1315005,0&lt;&gt;0),IF(100*0/(F65-1315005)&lt;0.005,"*",100*0/(F65-1315005)),0)</f>
        <v>0</v>
      </c>
    </row>
    <row r="11" spans="1:7" x14ac:dyDescent="0.2">
      <c r="A11" s="11" t="s">
        <v>112</v>
      </c>
      <c r="B11" s="17">
        <v>13126</v>
      </c>
      <c r="C11" s="17">
        <v>0</v>
      </c>
      <c r="D11" s="17">
        <v>0</v>
      </c>
      <c r="E11" s="17">
        <v>0</v>
      </c>
      <c r="F11" s="17">
        <v>0</v>
      </c>
      <c r="G11" s="18">
        <f>IF(AND(F65&lt;&gt;1315005,0&lt;&gt;0),IF(100*0/(F65-1315005)&lt;0.005,"*",100*0/(F65-1315005)),0)</f>
        <v>0</v>
      </c>
    </row>
    <row r="12" spans="1:7" x14ac:dyDescent="0.2">
      <c r="A12" s="11" t="s">
        <v>113</v>
      </c>
      <c r="B12" s="17">
        <v>11644</v>
      </c>
      <c r="C12" s="17">
        <v>0</v>
      </c>
      <c r="D12" s="17">
        <v>0</v>
      </c>
      <c r="E12" s="17">
        <v>0</v>
      </c>
      <c r="F12" s="17">
        <v>0</v>
      </c>
      <c r="G12" s="18">
        <f>IF(AND(F65&lt;&gt;1315005,0&lt;&gt;0),IF(100*0/(F65-1315005)&lt;0.005,"*",100*0/(F65-1315005)),0)</f>
        <v>0</v>
      </c>
    </row>
    <row r="13" spans="1:7" x14ac:dyDescent="0.2">
      <c r="A13" s="11" t="s">
        <v>114</v>
      </c>
      <c r="B13" s="17">
        <v>4918</v>
      </c>
      <c r="C13" s="17">
        <v>0</v>
      </c>
      <c r="D13" s="17">
        <v>0</v>
      </c>
      <c r="E13" s="17">
        <v>0</v>
      </c>
      <c r="F13" s="17">
        <v>0</v>
      </c>
      <c r="G13" s="18">
        <f>IF(AND(F65&lt;&gt;1315005,0&lt;&gt;0),IF(100*0/(F65-1315005)&lt;0.005,"*",100*0/(F65-1315005)),0)</f>
        <v>0</v>
      </c>
    </row>
    <row r="14" spans="1:7" x14ac:dyDescent="0.2">
      <c r="A14" s="11" t="s">
        <v>115</v>
      </c>
      <c r="B14" s="17">
        <v>16964</v>
      </c>
      <c r="C14" s="17">
        <v>0</v>
      </c>
      <c r="D14" s="17">
        <v>0</v>
      </c>
      <c r="E14" s="17">
        <v>0</v>
      </c>
      <c r="F14" s="17">
        <v>0</v>
      </c>
      <c r="G14" s="18">
        <f>IF(AND(F65&lt;&gt;1315005,0&lt;&gt;0),IF(100*0/(F65-1315005)&lt;0.005,"*",100*0/(F65-1315005)),0)</f>
        <v>0</v>
      </c>
    </row>
    <row r="15" spans="1:7" x14ac:dyDescent="0.2">
      <c r="A15" s="11" t="s">
        <v>116</v>
      </c>
      <c r="B15" s="17">
        <v>120791</v>
      </c>
      <c r="C15" s="17">
        <v>0</v>
      </c>
      <c r="D15" s="17">
        <v>0</v>
      </c>
      <c r="E15" s="17">
        <v>0</v>
      </c>
      <c r="F15" s="17">
        <v>0</v>
      </c>
      <c r="G15" s="18">
        <f>IF(AND(F65&lt;&gt;1315005,0&lt;&gt;0),IF(100*0/(F65-1315005)&lt;0.005,"*",100*0/(F65-1315005)),0)</f>
        <v>0</v>
      </c>
    </row>
    <row r="16" spans="1:7" x14ac:dyDescent="0.2">
      <c r="A16" s="11" t="s">
        <v>117</v>
      </c>
      <c r="B16" s="17">
        <v>64383</v>
      </c>
      <c r="C16" s="17">
        <v>0</v>
      </c>
      <c r="D16" s="17">
        <v>0</v>
      </c>
      <c r="E16" s="17">
        <v>0</v>
      </c>
      <c r="F16" s="17">
        <v>0</v>
      </c>
      <c r="G16" s="18">
        <f>IF(AND(F65&lt;&gt;1315005,0&lt;&gt;0),IF(100*0/(F65-1315005)&lt;0.005,"*",100*0/(F65-1315005)),0)</f>
        <v>0</v>
      </c>
    </row>
    <row r="17" spans="1:7" x14ac:dyDescent="0.2">
      <c r="A17" s="11" t="s">
        <v>118</v>
      </c>
      <c r="B17" s="17">
        <v>3732</v>
      </c>
      <c r="C17" s="17">
        <v>0</v>
      </c>
      <c r="D17" s="17">
        <v>0</v>
      </c>
      <c r="E17" s="17">
        <v>0</v>
      </c>
      <c r="F17" s="17">
        <v>0</v>
      </c>
      <c r="G17" s="18">
        <f>IF(AND(F65&lt;&gt;1315005,0&lt;&gt;0),IF(100*0/(F65-1315005)&lt;0.005,"*",100*0/(F65-1315005)),0)</f>
        <v>0</v>
      </c>
    </row>
    <row r="18" spans="1:7" x14ac:dyDescent="0.2">
      <c r="A18" s="11" t="s">
        <v>119</v>
      </c>
      <c r="B18" s="17">
        <v>4123</v>
      </c>
      <c r="C18" s="17">
        <v>0</v>
      </c>
      <c r="D18" s="17">
        <v>0</v>
      </c>
      <c r="E18" s="17">
        <v>0</v>
      </c>
      <c r="F18" s="17">
        <v>0</v>
      </c>
      <c r="G18" s="18">
        <f>IF(AND(F65&lt;&gt;1315005,0&lt;&gt;0),IF(100*0/(F65-1315005)&lt;0.005,"*",100*0/(F65-1315005)),0)</f>
        <v>0</v>
      </c>
    </row>
    <row r="19" spans="1:7" x14ac:dyDescent="0.2">
      <c r="A19" s="11" t="s">
        <v>120</v>
      </c>
      <c r="B19" s="17">
        <v>42291</v>
      </c>
      <c r="C19" s="17">
        <v>0</v>
      </c>
      <c r="D19" s="17">
        <v>0</v>
      </c>
      <c r="E19" s="17">
        <v>0</v>
      </c>
      <c r="F19" s="17">
        <v>0</v>
      </c>
      <c r="G19" s="18">
        <f>IF(AND(F65&lt;&gt;1315005,0&lt;&gt;0),IF(100*0/(F65-1315005)&lt;0.005,"*",100*0/(F65-1315005)),0)</f>
        <v>0</v>
      </c>
    </row>
    <row r="20" spans="1:7" x14ac:dyDescent="0.2">
      <c r="A20" s="11" t="s">
        <v>121</v>
      </c>
      <c r="B20" s="17">
        <v>41102</v>
      </c>
      <c r="C20" s="17">
        <v>0</v>
      </c>
      <c r="D20" s="17">
        <v>0</v>
      </c>
      <c r="E20" s="17">
        <v>0</v>
      </c>
      <c r="F20" s="17">
        <v>0</v>
      </c>
      <c r="G20" s="18">
        <f>IF(AND(F65&lt;&gt;1315005,0&lt;&gt;0),IF(100*0/(F65-1315005)&lt;0.005,"*",100*0/(F65-1315005)),0)</f>
        <v>0</v>
      </c>
    </row>
    <row r="21" spans="1:7" x14ac:dyDescent="0.2">
      <c r="A21" s="11" t="s">
        <v>122</v>
      </c>
      <c r="B21" s="17">
        <v>15485</v>
      </c>
      <c r="C21" s="17">
        <v>0</v>
      </c>
      <c r="D21" s="17">
        <v>0</v>
      </c>
      <c r="E21" s="17">
        <v>0</v>
      </c>
      <c r="F21" s="17">
        <v>0</v>
      </c>
      <c r="G21" s="18">
        <f>IF(AND(F65&lt;&gt;1315005,0&lt;&gt;0),IF(100*0/(F65-1315005)&lt;0.005,"*",100*0/(F65-1315005)),0)</f>
        <v>0</v>
      </c>
    </row>
    <row r="22" spans="1:7" x14ac:dyDescent="0.2">
      <c r="A22" s="11" t="s">
        <v>123</v>
      </c>
      <c r="B22" s="17">
        <v>3596</v>
      </c>
      <c r="C22" s="17">
        <v>0</v>
      </c>
      <c r="D22" s="17">
        <v>0</v>
      </c>
      <c r="E22" s="17">
        <v>0</v>
      </c>
      <c r="F22" s="17">
        <v>0</v>
      </c>
      <c r="G22" s="18">
        <f>IF(AND(F65&lt;&gt;1315005,0&lt;&gt;0),IF(100*0/(F65-1315005)&lt;0.005,"*",100*0/(F65-1315005)),0)</f>
        <v>0</v>
      </c>
    </row>
    <row r="23" spans="1:7" x14ac:dyDescent="0.2">
      <c r="A23" s="11" t="s">
        <v>124</v>
      </c>
      <c r="B23" s="17">
        <v>9593</v>
      </c>
      <c r="C23" s="17">
        <v>0</v>
      </c>
      <c r="D23" s="17">
        <v>0</v>
      </c>
      <c r="E23" s="17">
        <v>0</v>
      </c>
      <c r="F23" s="17">
        <v>0</v>
      </c>
      <c r="G23" s="18">
        <f>IF(AND(F65&lt;&gt;1315005,0&lt;&gt;0),IF(100*0/(F65-1315005)&lt;0.005,"*",100*0/(F65-1315005)),0)</f>
        <v>0</v>
      </c>
    </row>
    <row r="24" spans="1:7" x14ac:dyDescent="0.2">
      <c r="A24" s="11" t="s">
        <v>125</v>
      </c>
      <c r="B24" s="17">
        <v>23468</v>
      </c>
      <c r="C24" s="17">
        <v>0</v>
      </c>
      <c r="D24" s="17">
        <v>0</v>
      </c>
      <c r="E24" s="17">
        <v>0</v>
      </c>
      <c r="F24" s="17">
        <v>0</v>
      </c>
      <c r="G24" s="18">
        <f>IF(AND(F65&lt;&gt;1315005,0&lt;&gt;0),IF(100*0/(F65-1315005)&lt;0.005,"*",100*0/(F65-1315005)),0)</f>
        <v>0</v>
      </c>
    </row>
    <row r="25" spans="1:7" x14ac:dyDescent="0.2">
      <c r="A25" s="11" t="s">
        <v>126</v>
      </c>
      <c r="B25" s="17">
        <v>3590</v>
      </c>
      <c r="C25" s="17">
        <v>0</v>
      </c>
      <c r="D25" s="17">
        <v>0</v>
      </c>
      <c r="E25" s="17">
        <v>0</v>
      </c>
      <c r="F25" s="17">
        <v>0</v>
      </c>
      <c r="G25" s="18">
        <f>IF(AND(F65&lt;&gt;1315005,0&lt;&gt;0),IF(100*0/(F65-1315005)&lt;0.005,"*",100*0/(F65-1315005)),0)</f>
        <v>0</v>
      </c>
    </row>
    <row r="26" spans="1:7" x14ac:dyDescent="0.2">
      <c r="A26" s="11" t="s">
        <v>127</v>
      </c>
      <c r="B26" s="17">
        <v>34439</v>
      </c>
      <c r="C26" s="17">
        <v>0</v>
      </c>
      <c r="D26" s="17">
        <v>0</v>
      </c>
      <c r="E26" s="17">
        <v>0</v>
      </c>
      <c r="F26" s="17">
        <v>0</v>
      </c>
      <c r="G26" s="18">
        <f>IF(AND(F65&lt;&gt;1315005,0&lt;&gt;0),IF(100*0/(F65-1315005)&lt;0.005,"*",100*0/(F65-1315005)),0)</f>
        <v>0</v>
      </c>
    </row>
    <row r="27" spans="1:7" x14ac:dyDescent="0.2">
      <c r="A27" s="11" t="s">
        <v>128</v>
      </c>
      <c r="B27" s="17">
        <v>19450</v>
      </c>
      <c r="C27" s="17">
        <v>0</v>
      </c>
      <c r="D27" s="17">
        <v>0</v>
      </c>
      <c r="E27" s="17">
        <v>0</v>
      </c>
      <c r="F27" s="17">
        <v>0</v>
      </c>
      <c r="G27" s="18">
        <f>IF(AND(F65&lt;&gt;1315005,0&lt;&gt;0),IF(100*0/(F65-1315005)&lt;0.005,"*",100*0/(F65-1315005)),0)</f>
        <v>0</v>
      </c>
    </row>
    <row r="28" spans="1:7" x14ac:dyDescent="0.2">
      <c r="A28" s="11" t="s">
        <v>129</v>
      </c>
      <c r="B28" s="17">
        <v>18220</v>
      </c>
      <c r="C28" s="17">
        <v>0</v>
      </c>
      <c r="D28" s="17">
        <v>0</v>
      </c>
      <c r="E28" s="17">
        <v>0</v>
      </c>
      <c r="F28" s="17">
        <v>0</v>
      </c>
      <c r="G28" s="18">
        <f>IF(AND(F65&lt;&gt;1315005,0&lt;&gt;0),IF(100*0/(F65-1315005)&lt;0.005,"*",100*0/(F65-1315005)),0)</f>
        <v>0</v>
      </c>
    </row>
    <row r="29" spans="1:7" x14ac:dyDescent="0.2">
      <c r="A29" s="11" t="s">
        <v>130</v>
      </c>
      <c r="B29" s="17">
        <v>9269</v>
      </c>
      <c r="C29" s="17">
        <v>0</v>
      </c>
      <c r="D29" s="17">
        <v>0</v>
      </c>
      <c r="E29" s="17">
        <v>0</v>
      </c>
      <c r="F29" s="17">
        <v>0</v>
      </c>
      <c r="G29" s="18">
        <f>IF(AND(F65&lt;&gt;1315005,0&lt;&gt;0),IF(100*0/(F65-1315005)&lt;0.005,"*",100*0/(F65-1315005)),0)</f>
        <v>0</v>
      </c>
    </row>
    <row r="30" spans="1:7" x14ac:dyDescent="0.2">
      <c r="A30" s="11" t="s">
        <v>131</v>
      </c>
      <c r="B30" s="17">
        <v>22972</v>
      </c>
      <c r="C30" s="17">
        <v>0</v>
      </c>
      <c r="D30" s="17">
        <v>0</v>
      </c>
      <c r="E30" s="17">
        <v>0</v>
      </c>
      <c r="F30" s="17">
        <v>0</v>
      </c>
      <c r="G30" s="18">
        <f>IF(AND(F65&lt;&gt;1315005,0&lt;&gt;0),IF(100*0/(F65-1315005)&lt;0.005,"*",100*0/(F65-1315005)),0)</f>
        <v>0</v>
      </c>
    </row>
    <row r="31" spans="1:7" x14ac:dyDescent="0.2">
      <c r="A31" s="11" t="s">
        <v>132</v>
      </c>
      <c r="B31" s="17">
        <v>22273</v>
      </c>
      <c r="C31" s="17">
        <v>0</v>
      </c>
      <c r="D31" s="17">
        <v>0</v>
      </c>
      <c r="E31" s="17">
        <v>0</v>
      </c>
      <c r="F31" s="17">
        <v>0</v>
      </c>
      <c r="G31" s="18">
        <f>IF(AND(F65&lt;&gt;1315005,0&lt;&gt;0),IF(100*0/(F65-1315005)&lt;0.005,"*",100*0/(F65-1315005)),0)</f>
        <v>0</v>
      </c>
    </row>
    <row r="32" spans="1:7" x14ac:dyDescent="0.2">
      <c r="A32" s="11" t="s">
        <v>133</v>
      </c>
      <c r="B32" s="17">
        <v>2860</v>
      </c>
      <c r="C32" s="17">
        <v>0</v>
      </c>
      <c r="D32" s="17">
        <v>0</v>
      </c>
      <c r="E32" s="17">
        <v>0</v>
      </c>
      <c r="F32" s="17">
        <v>0</v>
      </c>
      <c r="G32" s="18">
        <f>IF(AND(F65&lt;&gt;1315005,0&lt;&gt;0),IF(100*0/(F65-1315005)&lt;0.005,"*",100*0/(F65-1315005)),0)</f>
        <v>0</v>
      </c>
    </row>
    <row r="33" spans="1:7" x14ac:dyDescent="0.2">
      <c r="A33" s="11" t="s">
        <v>134</v>
      </c>
      <c r="B33" s="17">
        <v>6306</v>
      </c>
      <c r="C33" s="17">
        <v>0</v>
      </c>
      <c r="D33" s="17">
        <v>0</v>
      </c>
      <c r="E33" s="17">
        <v>0</v>
      </c>
      <c r="F33" s="17">
        <v>0</v>
      </c>
      <c r="G33" s="18">
        <f>IF(AND(F65&lt;&gt;1315005,0&lt;&gt;0),IF(100*0/(F65-1315005)&lt;0.005,"*",100*0/(F65-1315005)),0)</f>
        <v>0</v>
      </c>
    </row>
    <row r="34" spans="1:7" x14ac:dyDescent="0.2">
      <c r="A34" s="11" t="s">
        <v>135</v>
      </c>
      <c r="B34" s="17">
        <v>10592</v>
      </c>
      <c r="C34" s="17">
        <v>0</v>
      </c>
      <c r="D34" s="17">
        <v>0</v>
      </c>
      <c r="E34" s="17">
        <v>0</v>
      </c>
      <c r="F34" s="17">
        <v>0</v>
      </c>
      <c r="G34" s="18">
        <f>IF(AND(F65&lt;&gt;1315005,0&lt;&gt;0),IF(100*0/(F65-1315005)&lt;0.005,"*",100*0/(F65-1315005)),0)</f>
        <v>0</v>
      </c>
    </row>
    <row r="35" spans="1:7" x14ac:dyDescent="0.2">
      <c r="A35" s="11" t="s">
        <v>136</v>
      </c>
      <c r="B35" s="17">
        <v>1464</v>
      </c>
      <c r="C35" s="17">
        <v>0</v>
      </c>
      <c r="D35" s="17">
        <v>0</v>
      </c>
      <c r="E35" s="17">
        <v>0</v>
      </c>
      <c r="F35" s="17">
        <v>0</v>
      </c>
      <c r="G35" s="18">
        <f>IF(AND(F65&lt;&gt;1315005,0&lt;&gt;0),IF(100*0/(F65-1315005)&lt;0.005,"*",100*0/(F65-1315005)),0)</f>
        <v>0</v>
      </c>
    </row>
    <row r="36" spans="1:7" x14ac:dyDescent="0.2">
      <c r="A36" s="11" t="s">
        <v>137</v>
      </c>
      <c r="B36" s="17">
        <v>42108</v>
      </c>
      <c r="C36" s="17">
        <v>0</v>
      </c>
      <c r="D36" s="17">
        <v>0</v>
      </c>
      <c r="E36" s="17">
        <v>0</v>
      </c>
      <c r="F36" s="17">
        <v>0</v>
      </c>
      <c r="G36" s="18">
        <f>IF(AND(F65&lt;&gt;1315005,0&lt;&gt;0),IF(100*0/(F65-1315005)&lt;0.005,"*",100*0/(F65-1315005)),0)</f>
        <v>0</v>
      </c>
    </row>
    <row r="37" spans="1:7" x14ac:dyDescent="0.2">
      <c r="A37" s="11" t="s">
        <v>138</v>
      </c>
      <c r="B37" s="17">
        <v>4274</v>
      </c>
      <c r="C37" s="17">
        <v>0</v>
      </c>
      <c r="D37" s="17">
        <v>0</v>
      </c>
      <c r="E37" s="17">
        <v>0</v>
      </c>
      <c r="F37" s="17">
        <v>0</v>
      </c>
      <c r="G37" s="18">
        <f>IF(AND(F65&lt;&gt;1315005,0&lt;&gt;0),IF(100*0/(F65-1315005)&lt;0.005,"*",100*0/(F65-1315005)),0)</f>
        <v>0</v>
      </c>
    </row>
    <row r="38" spans="1:7" x14ac:dyDescent="0.2">
      <c r="A38" s="11" t="s">
        <v>139</v>
      </c>
      <c r="B38" s="17">
        <v>180180</v>
      </c>
      <c r="C38" s="17">
        <v>0</v>
      </c>
      <c r="D38" s="17">
        <v>0</v>
      </c>
      <c r="E38" s="17">
        <v>0</v>
      </c>
      <c r="F38" s="17">
        <v>0</v>
      </c>
      <c r="G38" s="18">
        <f>IF(AND(F65&lt;&gt;1315005,0&lt;&gt;0),IF(100*0/(F65-1315005)&lt;0.005,"*",100*0/(F65-1315005)),0)</f>
        <v>0</v>
      </c>
    </row>
    <row r="39" spans="1:7" x14ac:dyDescent="0.2">
      <c r="A39" s="11" t="s">
        <v>140</v>
      </c>
      <c r="B39" s="17">
        <v>45663</v>
      </c>
      <c r="C39" s="17">
        <v>0</v>
      </c>
      <c r="D39" s="17">
        <v>0</v>
      </c>
      <c r="E39" s="17">
        <v>0</v>
      </c>
      <c r="F39" s="17">
        <v>0</v>
      </c>
      <c r="G39" s="18">
        <f>IF(AND(F65&lt;&gt;1315005,0&lt;&gt;0),IF(100*0/(F65-1315005)&lt;0.005,"*",100*0/(F65-1315005)),0)</f>
        <v>0</v>
      </c>
    </row>
    <row r="40" spans="1:7" x14ac:dyDescent="0.2">
      <c r="A40" s="11" t="s">
        <v>141</v>
      </c>
      <c r="B40" s="17">
        <v>714</v>
      </c>
      <c r="C40" s="17">
        <v>0</v>
      </c>
      <c r="D40" s="17">
        <v>0</v>
      </c>
      <c r="E40" s="17">
        <v>0</v>
      </c>
      <c r="F40" s="17">
        <v>0</v>
      </c>
      <c r="G40" s="18">
        <f>IF(AND(F65&lt;&gt;1315005,0&lt;&gt;0),IF(100*0/(F65-1315005)&lt;0.005,"*",100*0/(F65-1315005)),0)</f>
        <v>0</v>
      </c>
    </row>
    <row r="41" spans="1:7" x14ac:dyDescent="0.2">
      <c r="A41" s="11" t="s">
        <v>142</v>
      </c>
      <c r="B41" s="17">
        <v>22676</v>
      </c>
      <c r="C41" s="17">
        <v>0</v>
      </c>
      <c r="D41" s="17">
        <v>0</v>
      </c>
      <c r="E41" s="17">
        <v>0</v>
      </c>
      <c r="F41" s="17">
        <v>0</v>
      </c>
      <c r="G41" s="18">
        <f>IF(AND(F65&lt;&gt;1315005,0&lt;&gt;0),IF(100*0/(F65-1315005)&lt;0.005,"*",100*0/(F65-1315005)),0)</f>
        <v>0</v>
      </c>
    </row>
    <row r="42" spans="1:7" x14ac:dyDescent="0.2">
      <c r="A42" s="11" t="s">
        <v>143</v>
      </c>
      <c r="B42" s="17">
        <v>8497</v>
      </c>
      <c r="C42" s="17">
        <v>0</v>
      </c>
      <c r="D42" s="17">
        <v>0</v>
      </c>
      <c r="E42" s="17">
        <v>0</v>
      </c>
      <c r="F42" s="17">
        <v>0</v>
      </c>
      <c r="G42" s="18">
        <f>IF(AND(F65&lt;&gt;1315005,0&lt;&gt;0),IF(100*0/(F65-1315005)&lt;0.005,"*",100*0/(F65-1315005)),0)</f>
        <v>0</v>
      </c>
    </row>
    <row r="43" spans="1:7" x14ac:dyDescent="0.2">
      <c r="A43" s="11" t="s">
        <v>144</v>
      </c>
      <c r="B43" s="17">
        <v>6478</v>
      </c>
      <c r="C43" s="17">
        <v>0</v>
      </c>
      <c r="D43" s="17">
        <v>0</v>
      </c>
      <c r="E43" s="17">
        <v>0</v>
      </c>
      <c r="F43" s="17">
        <v>0</v>
      </c>
      <c r="G43" s="18">
        <f>IF(AND(F65&lt;&gt;1315005,0&lt;&gt;0),IF(100*0/(F65-1315005)&lt;0.005,"*",100*0/(F65-1315005)),0)</f>
        <v>0</v>
      </c>
    </row>
    <row r="44" spans="1:7" x14ac:dyDescent="0.2">
      <c r="A44" s="11" t="s">
        <v>145</v>
      </c>
      <c r="B44" s="17">
        <v>39358</v>
      </c>
      <c r="C44" s="17">
        <v>0</v>
      </c>
      <c r="D44" s="17">
        <v>0</v>
      </c>
      <c r="E44" s="17">
        <v>0</v>
      </c>
      <c r="F44" s="17">
        <v>0</v>
      </c>
      <c r="G44" s="18">
        <f>IF(AND(F65&lt;&gt;1315005,0&lt;&gt;0),IF(100*0/(F65-1315005)&lt;0.005,"*",100*0/(F65-1315005)),0)</f>
        <v>0</v>
      </c>
    </row>
    <row r="45" spans="1:7" x14ac:dyDescent="0.2">
      <c r="A45" s="11" t="s">
        <v>146</v>
      </c>
      <c r="B45" s="17">
        <v>6079</v>
      </c>
      <c r="C45" s="17">
        <v>0</v>
      </c>
      <c r="D45" s="17">
        <v>0</v>
      </c>
      <c r="E45" s="17">
        <v>0</v>
      </c>
      <c r="F45" s="17">
        <v>0</v>
      </c>
      <c r="G45" s="18">
        <f>IF(AND(F65&lt;&gt;1315005,0&lt;&gt;0),IF(100*0/(F65-1315005)&lt;0.005,"*",100*0/(F65-1315005)),0)</f>
        <v>0</v>
      </c>
    </row>
    <row r="46" spans="1:7" x14ac:dyDescent="0.2">
      <c r="A46" s="11" t="s">
        <v>147</v>
      </c>
      <c r="B46" s="17">
        <v>24265</v>
      </c>
      <c r="C46" s="17">
        <v>0</v>
      </c>
      <c r="D46" s="17">
        <v>0</v>
      </c>
      <c r="E46" s="17">
        <v>0</v>
      </c>
      <c r="F46" s="17">
        <v>0</v>
      </c>
      <c r="G46" s="18">
        <f>IF(AND(F65&lt;&gt;1315005,0&lt;&gt;0),IF(100*0/(F65-1315005)&lt;0.005,"*",100*0/(F65-1315005)),0)</f>
        <v>0</v>
      </c>
    </row>
    <row r="47" spans="1:7" x14ac:dyDescent="0.2">
      <c r="A47" s="11" t="s">
        <v>148</v>
      </c>
      <c r="B47" s="17">
        <v>915</v>
      </c>
      <c r="C47" s="17">
        <v>0</v>
      </c>
      <c r="D47" s="17">
        <v>0</v>
      </c>
      <c r="E47" s="17">
        <v>0</v>
      </c>
      <c r="F47" s="17">
        <v>0</v>
      </c>
      <c r="G47" s="18">
        <f>IF(AND(F65&lt;&gt;1315005,0&lt;&gt;0),IF(100*0/(F65-1315005)&lt;0.005,"*",100*0/(F65-1315005)),0)</f>
        <v>0</v>
      </c>
    </row>
    <row r="48" spans="1:7" x14ac:dyDescent="0.2">
      <c r="A48" s="11" t="s">
        <v>149</v>
      </c>
      <c r="B48" s="17">
        <v>28544</v>
      </c>
      <c r="C48" s="17">
        <v>0</v>
      </c>
      <c r="D48" s="17">
        <v>0</v>
      </c>
      <c r="E48" s="17">
        <v>0</v>
      </c>
      <c r="F48" s="17">
        <v>0</v>
      </c>
      <c r="G48" s="18">
        <f>IF(AND(F65&lt;&gt;1315005,0&lt;&gt;0),IF(100*0/(F65-1315005)&lt;0.005,"*",100*0/(F65-1315005)),0)</f>
        <v>0</v>
      </c>
    </row>
    <row r="49" spans="1:7" x14ac:dyDescent="0.2">
      <c r="A49" s="11" t="s">
        <v>150</v>
      </c>
      <c r="B49" s="17">
        <v>114484</v>
      </c>
      <c r="C49" s="17">
        <v>0</v>
      </c>
      <c r="D49" s="17">
        <v>0</v>
      </c>
      <c r="E49" s="17">
        <v>0</v>
      </c>
      <c r="F49" s="17">
        <v>0</v>
      </c>
      <c r="G49" s="18">
        <f>IF(AND(F65&lt;&gt;1315005,0&lt;&gt;0),IF(100*0/(F65-1315005)&lt;0.005,"*",100*0/(F65-1315005)),0)</f>
        <v>0</v>
      </c>
    </row>
    <row r="50" spans="1:7" x14ac:dyDescent="0.2">
      <c r="A50" s="11" t="s">
        <v>151</v>
      </c>
      <c r="B50" s="17">
        <v>8131</v>
      </c>
      <c r="C50" s="17">
        <v>0</v>
      </c>
      <c r="D50" s="17">
        <v>0</v>
      </c>
      <c r="E50" s="17">
        <v>0</v>
      </c>
      <c r="F50" s="17">
        <v>0</v>
      </c>
      <c r="G50" s="18">
        <f>IF(AND(F65&lt;&gt;1315005,0&lt;&gt;0),IF(100*0/(F65-1315005)&lt;0.005,"*",100*0/(F65-1315005)),0)</f>
        <v>0</v>
      </c>
    </row>
    <row r="51" spans="1:7" x14ac:dyDescent="0.2">
      <c r="A51" s="11" t="s">
        <v>152</v>
      </c>
      <c r="B51" s="17">
        <v>907</v>
      </c>
      <c r="C51" s="17">
        <v>0</v>
      </c>
      <c r="D51" s="17">
        <v>0</v>
      </c>
      <c r="E51" s="17">
        <v>0</v>
      </c>
      <c r="F51" s="17">
        <v>0</v>
      </c>
      <c r="G51" s="18">
        <f>IF(AND(F65&lt;&gt;1315005,0&lt;&gt;0),IF(100*0/(F65-1315005)&lt;0.005,"*",100*0/(F65-1315005)),0)</f>
        <v>0</v>
      </c>
    </row>
    <row r="52" spans="1:7" x14ac:dyDescent="0.2">
      <c r="A52" s="11" t="s">
        <v>153</v>
      </c>
      <c r="B52" s="17">
        <v>35249</v>
      </c>
      <c r="C52" s="17">
        <v>0</v>
      </c>
      <c r="D52" s="17">
        <v>0</v>
      </c>
      <c r="E52" s="17">
        <v>0</v>
      </c>
      <c r="F52" s="17">
        <v>0</v>
      </c>
      <c r="G52" s="18">
        <f>IF(AND(F65&lt;&gt;1315005,0&lt;&gt;0),IF(100*0/(F65-1315005)&lt;0.005,"*",100*0/(F65-1315005)),0)</f>
        <v>0</v>
      </c>
    </row>
    <row r="53" spans="1:7" x14ac:dyDescent="0.2">
      <c r="A53" s="11" t="s">
        <v>154</v>
      </c>
      <c r="B53" s="17">
        <v>13632</v>
      </c>
      <c r="C53" s="17">
        <v>0</v>
      </c>
      <c r="D53" s="17">
        <v>0</v>
      </c>
      <c r="E53" s="17">
        <v>0</v>
      </c>
      <c r="F53" s="17">
        <v>0</v>
      </c>
      <c r="G53" s="18">
        <f>IF(AND(F65&lt;&gt;1315005,0&lt;&gt;0),IF(100*0/(F65-1315005)&lt;0.005,"*",100*0/(F65-1315005)),0)</f>
        <v>0</v>
      </c>
    </row>
    <row r="54" spans="1:7" x14ac:dyDescent="0.2">
      <c r="A54" s="11" t="s">
        <v>155</v>
      </c>
      <c r="B54" s="17">
        <v>2481</v>
      </c>
      <c r="C54" s="17">
        <v>0</v>
      </c>
      <c r="D54" s="17">
        <v>0</v>
      </c>
      <c r="E54" s="17">
        <v>0</v>
      </c>
      <c r="F54" s="17">
        <v>0</v>
      </c>
      <c r="G54" s="18">
        <f>IF(AND(F65&lt;&gt;1315005,0&lt;&gt;0),IF(100*0/(F65-1315005)&lt;0.005,"*",100*0/(F65-1315005)),0)</f>
        <v>0</v>
      </c>
    </row>
    <row r="55" spans="1:7" x14ac:dyDescent="0.2">
      <c r="A55" s="11" t="s">
        <v>156</v>
      </c>
      <c r="B55" s="17">
        <v>11384</v>
      </c>
      <c r="C55" s="17">
        <v>0</v>
      </c>
      <c r="D55" s="17">
        <v>0</v>
      </c>
      <c r="E55" s="17">
        <v>0</v>
      </c>
      <c r="F55" s="17">
        <v>0</v>
      </c>
      <c r="G55" s="18">
        <f>IF(AND(F65&lt;&gt;1315005,0&lt;&gt;0),IF(100*0/(F65-1315005)&lt;0.005,"*",100*0/(F65-1315005)),0)</f>
        <v>0</v>
      </c>
    </row>
    <row r="56" spans="1:7" x14ac:dyDescent="0.2">
      <c r="A56" s="11" t="s">
        <v>157</v>
      </c>
      <c r="B56" s="17">
        <v>738</v>
      </c>
      <c r="C56" s="17">
        <v>0</v>
      </c>
      <c r="D56" s="17">
        <v>0</v>
      </c>
      <c r="E56" s="17">
        <v>0</v>
      </c>
      <c r="F56" s="17">
        <v>0</v>
      </c>
      <c r="G56" s="18">
        <f>IF(AND(F65&lt;&gt;1315005,0&lt;&gt;0),IF(100*0/(F65-1315005)&lt;0.005,"*",100*0/(F65-1315005)),0)</f>
        <v>0</v>
      </c>
    </row>
    <row r="57" spans="1:7" x14ac:dyDescent="0.2">
      <c r="A57" s="11" t="s">
        <v>158</v>
      </c>
      <c r="B57" s="17">
        <v>24</v>
      </c>
      <c r="C57" s="17">
        <v>0</v>
      </c>
      <c r="D57" s="17">
        <v>0</v>
      </c>
      <c r="E57" s="17">
        <v>0</v>
      </c>
      <c r="F57" s="17">
        <v>0</v>
      </c>
      <c r="G57" s="18">
        <f>IF(AND(F65&lt;&gt;1315005,0&lt;&gt;0),IF(100*0/(F65-1315005)&lt;0.005,"*",100*0/(F65-1315005)),0)</f>
        <v>0</v>
      </c>
    </row>
    <row r="58" spans="1:7" x14ac:dyDescent="0.2">
      <c r="A58" s="11" t="s">
        <v>159</v>
      </c>
      <c r="B58" s="17">
        <v>261</v>
      </c>
      <c r="C58" s="17">
        <v>0</v>
      </c>
      <c r="D58" s="17">
        <v>0</v>
      </c>
      <c r="E58" s="17">
        <v>0</v>
      </c>
      <c r="F58" s="17">
        <v>0</v>
      </c>
      <c r="G58" s="18">
        <f>IF(AND(F65&lt;&gt;1315005,0&lt;&gt;0),IF(100*0/(F65-1315005)&lt;0.005,"*",100*0/(F65-1315005)),0)</f>
        <v>0</v>
      </c>
    </row>
    <row r="59" spans="1:7" x14ac:dyDescent="0.2">
      <c r="A59" s="11" t="s">
        <v>160</v>
      </c>
      <c r="B59" s="17">
        <v>94</v>
      </c>
      <c r="C59" s="17">
        <v>0</v>
      </c>
      <c r="D59" s="17">
        <v>0</v>
      </c>
      <c r="E59" s="17">
        <v>0</v>
      </c>
      <c r="F59" s="17">
        <v>0</v>
      </c>
      <c r="G59" s="18">
        <f>IF(AND(F65&lt;&gt;1315005,0&lt;&gt;0),IF(100*0/(F65-1315005)&lt;0.005,"*",100*0/(F65-1315005)),0)</f>
        <v>0</v>
      </c>
    </row>
    <row r="60" spans="1:7" x14ac:dyDescent="0.2">
      <c r="A60" s="11" t="s">
        <v>161</v>
      </c>
      <c r="B60" s="17">
        <v>52905</v>
      </c>
      <c r="C60" s="17">
        <v>0</v>
      </c>
      <c r="D60" s="17">
        <v>0</v>
      </c>
      <c r="E60" s="17">
        <v>0</v>
      </c>
      <c r="F60" s="17">
        <v>0</v>
      </c>
      <c r="G60" s="18">
        <f>IF(AND(F65&lt;&gt;1315005,0&lt;&gt;0),IF(100*0/(F65-1315005)&lt;0.005,"*",100*0/(F65-1315005)),0)</f>
        <v>0</v>
      </c>
    </row>
    <row r="61" spans="1:7" ht="15" x14ac:dyDescent="0.2">
      <c r="A61" s="11" t="s">
        <v>162</v>
      </c>
      <c r="B61" s="17" t="s">
        <v>442</v>
      </c>
      <c r="C61" s="17" t="s">
        <v>443</v>
      </c>
      <c r="D61" s="17">
        <v>0</v>
      </c>
      <c r="E61" s="17" t="s">
        <v>443</v>
      </c>
      <c r="F61" s="17">
        <v>0</v>
      </c>
      <c r="G61" s="18">
        <f>IF(AND(F65&lt;&gt;1315005,0&lt;&gt;0),IF(100*0/(F65-1315005)&lt;0.005,"*",100*0/(F65-1315005)),0)</f>
        <v>0</v>
      </c>
    </row>
    <row r="62" spans="1:7" x14ac:dyDescent="0.2">
      <c r="A62" s="11" t="s">
        <v>163</v>
      </c>
      <c r="B62" s="17">
        <v>1955</v>
      </c>
      <c r="C62" s="17">
        <v>0</v>
      </c>
      <c r="D62" s="17">
        <v>0</v>
      </c>
      <c r="E62" s="17">
        <v>0</v>
      </c>
      <c r="F62" s="17">
        <v>0</v>
      </c>
      <c r="G62" s="18">
        <f>IF(AND(F65&lt;&gt;1315005,0&lt;&gt;0),IF(100*0/(F65-1315005)&lt;0.005,"*",100*0/(F65-1315005)),0)</f>
        <v>0</v>
      </c>
    </row>
    <row r="63" spans="1:7" x14ac:dyDescent="0.2">
      <c r="A63" s="11" t="s">
        <v>164</v>
      </c>
      <c r="B63" s="17">
        <v>0</v>
      </c>
      <c r="C63" s="17">
        <v>0</v>
      </c>
      <c r="D63" s="17">
        <v>0</v>
      </c>
      <c r="E63" s="17">
        <v>0</v>
      </c>
      <c r="F63" s="17">
        <v>0</v>
      </c>
      <c r="G63" s="18">
        <f>IF(AND(F65&lt;&gt;1315005,0&lt;&gt;0),IF(100*0/(F65-1315005)&lt;0.005,"*",100*0/(F65-1315005)),0)</f>
        <v>0</v>
      </c>
    </row>
    <row r="64" spans="1:7" ht="15" x14ac:dyDescent="0.2">
      <c r="A64" s="11" t="s">
        <v>165</v>
      </c>
      <c r="B64" s="17">
        <v>0</v>
      </c>
      <c r="C64" s="17">
        <v>0</v>
      </c>
      <c r="D64" s="23" t="s">
        <v>447</v>
      </c>
      <c r="E64" s="17">
        <v>1306075</v>
      </c>
      <c r="F64" s="23" t="s">
        <v>446</v>
      </c>
      <c r="G64" s="18">
        <v>0</v>
      </c>
    </row>
    <row r="65" spans="1:7" ht="15" customHeight="1" x14ac:dyDescent="0.2">
      <c r="A65" s="19" t="s">
        <v>106</v>
      </c>
      <c r="B65" s="20">
        <f>22437+1220+15787+7745+181551+13126+11644+4918+16964+120791+64383+3732+4123+42291+41102+15485+3596+9593+23468+3590+34439+19450+18220+9269+22972+22273+2860+6306+10592+1464+42108+4274+180180+45663+714+22676+8497+6478+39358+6079+24265+915+28544+114484+8131+907+35249+13632+2481+11384+738+24+261+94+52905+50+1955+0+0+0</f>
        <v>1407437</v>
      </c>
      <c r="C65" s="20">
        <f>0+0+0+0+0+0+0+0+0+0+0+0+0+0+0+0+0+0+0+0+0+0+0+0+0+0+0+0+0+0+0+0+0+0+0+0+0+0+0+0+0+0+0+0+0+0+0+0+0+0+0+0+0+0+0+101+0+0+0+0</f>
        <v>101</v>
      </c>
      <c r="D65" s="20">
        <f>0+0+0+0+0+0+0+0+0+0+0+0+0+0+0+0+0+0+0+0+0+0+0+0+0+0+0+0+0+0+0+0+0+0+0+0+0+0+0+0+0+0+0+0+0+0+0+0+0+0+0+0+0+0+0+0+0+0+1306075+0</f>
        <v>1306075</v>
      </c>
      <c r="E65" s="20">
        <f>SUM(C65:D65)</f>
        <v>1306176</v>
      </c>
      <c r="F65" s="20">
        <f>0+0+0+0+0+0+0+0+0+0+0+0+0+0+0+0+0+0+0+0+0+0+0+0+0+0+0+0+0+0+0+0+0+0+0+0+0+0+0+0+0+0+0+0+0+0+0+0+0+0+0+0+0+0+0+0+0+0+1315005+0</f>
        <v>1315005</v>
      </c>
      <c r="G65" s="18">
        <v>0</v>
      </c>
    </row>
    <row r="66" spans="1:7" ht="15" customHeight="1" x14ac:dyDescent="0.2">
      <c r="A66" s="65" t="s">
        <v>441</v>
      </c>
      <c r="B66" s="65"/>
      <c r="C66" s="65"/>
      <c r="D66" s="65"/>
      <c r="E66" s="65"/>
      <c r="F66" s="65"/>
      <c r="G66" s="65"/>
    </row>
    <row r="67" spans="1:7" ht="15" customHeight="1" x14ac:dyDescent="0.2">
      <c r="A67" s="65" t="s">
        <v>444</v>
      </c>
      <c r="B67" s="65"/>
      <c r="C67" s="65"/>
      <c r="D67" s="65"/>
      <c r="E67" s="65"/>
      <c r="F67" s="65"/>
      <c r="G67" s="65"/>
    </row>
    <row r="68" spans="1:7" ht="15" customHeight="1" x14ac:dyDescent="0.2">
      <c r="A68" s="65" t="s">
        <v>445</v>
      </c>
      <c r="B68" s="65"/>
      <c r="C68" s="65"/>
      <c r="D68" s="65"/>
      <c r="E68" s="65"/>
      <c r="F68" s="65"/>
      <c r="G68" s="65"/>
    </row>
  </sheetData>
  <mergeCells count="7">
    <mergeCell ref="A68:G68"/>
    <mergeCell ref="A4:A5"/>
    <mergeCell ref="B4:B5"/>
    <mergeCell ref="F4:F5"/>
    <mergeCell ref="G4:G5"/>
    <mergeCell ref="A67:G67"/>
    <mergeCell ref="A66:G66"/>
  </mergeCells>
  <pageMargins left="0.7" right="0.7" top="0.75" bottom="0.75" header="0.3" footer="0.3"/>
  <pageSetup scale="7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2"/>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232</v>
      </c>
      <c r="B1" s="10"/>
      <c r="C1" s="10"/>
      <c r="D1" s="10"/>
      <c r="E1" s="10"/>
      <c r="F1" s="10"/>
      <c r="G1" s="12" t="s">
        <v>233</v>
      </c>
    </row>
    <row r="2" spans="1:7" x14ac:dyDescent="0.2">
      <c r="A2" s="13" t="s">
        <v>234</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ht="15" x14ac:dyDescent="0.2">
      <c r="A6" s="11" t="s">
        <v>107</v>
      </c>
      <c r="B6" s="23" t="s">
        <v>235</v>
      </c>
      <c r="C6" s="17">
        <v>0</v>
      </c>
      <c r="D6" s="17">
        <v>0</v>
      </c>
      <c r="E6" s="17">
        <v>0</v>
      </c>
      <c r="F6" s="17">
        <v>0</v>
      </c>
      <c r="G6" s="18">
        <f>IF(AND(F65&lt;&gt;0,0&lt;&gt;0),IF(100*0/(F65-0)&lt;0.005,"*",100*0/(F65-0)),0)</f>
        <v>0</v>
      </c>
    </row>
    <row r="7" spans="1:7" ht="15" x14ac:dyDescent="0.2">
      <c r="A7" s="11" t="s">
        <v>108</v>
      </c>
      <c r="B7" s="23" t="s">
        <v>236</v>
      </c>
      <c r="C7" s="17">
        <v>0</v>
      </c>
      <c r="D7" s="17">
        <v>0</v>
      </c>
      <c r="E7" s="17">
        <v>0</v>
      </c>
      <c r="F7" s="17">
        <v>0</v>
      </c>
      <c r="G7" s="18">
        <f>IF(AND(F65&lt;&gt;0,0&lt;&gt;0),IF(100*0/(F65-0)&lt;0.005,"*",100*0/(F65-0)),0)</f>
        <v>0</v>
      </c>
    </row>
    <row r="8" spans="1:7" ht="15" x14ac:dyDescent="0.2">
      <c r="A8" s="11" t="s">
        <v>109</v>
      </c>
      <c r="B8" s="23" t="s">
        <v>237</v>
      </c>
      <c r="C8" s="17">
        <v>0</v>
      </c>
      <c r="D8" s="17">
        <v>0</v>
      </c>
      <c r="E8" s="17">
        <v>0</v>
      </c>
      <c r="F8" s="17">
        <v>0</v>
      </c>
      <c r="G8" s="18">
        <f>IF(AND(F65&lt;&gt;0,0&lt;&gt;0),IF(100*0/(F65-0)&lt;0.005,"*",100*0/(F65-0)),0)</f>
        <v>0</v>
      </c>
    </row>
    <row r="9" spans="1:7" ht="15" x14ac:dyDescent="0.2">
      <c r="A9" s="11" t="s">
        <v>110</v>
      </c>
      <c r="B9" s="23" t="s">
        <v>238</v>
      </c>
      <c r="C9" s="17">
        <v>0</v>
      </c>
      <c r="D9" s="17">
        <v>0</v>
      </c>
      <c r="E9" s="17">
        <v>0</v>
      </c>
      <c r="F9" s="17">
        <v>0</v>
      </c>
      <c r="G9" s="18">
        <f>IF(AND(F65&lt;&gt;0,0&lt;&gt;0),IF(100*0/(F65-0)&lt;0.005,"*",100*0/(F65-0)),0)</f>
        <v>0</v>
      </c>
    </row>
    <row r="10" spans="1:7" ht="15" x14ac:dyDescent="0.2">
      <c r="A10" s="11" t="s">
        <v>111</v>
      </c>
      <c r="B10" s="23" t="s">
        <v>239</v>
      </c>
      <c r="C10" s="17">
        <v>0</v>
      </c>
      <c r="D10" s="17">
        <v>0</v>
      </c>
      <c r="E10" s="17">
        <v>0</v>
      </c>
      <c r="F10" s="17">
        <v>0</v>
      </c>
      <c r="G10" s="18">
        <f>IF(AND(F65&lt;&gt;0,0&lt;&gt;0),IF(100*0/(F65-0)&lt;0.005,"*",100*0/(F65-0)),0)</f>
        <v>0</v>
      </c>
    </row>
    <row r="11" spans="1:7" ht="15" x14ac:dyDescent="0.2">
      <c r="A11" s="11" t="s">
        <v>112</v>
      </c>
      <c r="B11" s="23" t="s">
        <v>240</v>
      </c>
      <c r="C11" s="17">
        <v>0</v>
      </c>
      <c r="D11" s="17">
        <v>0</v>
      </c>
      <c r="E11" s="17">
        <v>0</v>
      </c>
      <c r="F11" s="17">
        <v>0</v>
      </c>
      <c r="G11" s="18">
        <f>IF(AND(F65&lt;&gt;0,0&lt;&gt;0),IF(100*0/(F65-0)&lt;0.005,"*",100*0/(F65-0)),0)</f>
        <v>0</v>
      </c>
    </row>
    <row r="12" spans="1:7" ht="15" x14ac:dyDescent="0.2">
      <c r="A12" s="11" t="s">
        <v>113</v>
      </c>
      <c r="B12" s="23" t="s">
        <v>241</v>
      </c>
      <c r="C12" s="17">
        <v>0</v>
      </c>
      <c r="D12" s="17">
        <v>0</v>
      </c>
      <c r="E12" s="17">
        <v>0</v>
      </c>
      <c r="F12" s="17">
        <v>0</v>
      </c>
      <c r="G12" s="18">
        <f>IF(AND(F65&lt;&gt;0,0&lt;&gt;0),IF(100*0/(F65-0)&lt;0.005,"*",100*0/(F65-0)),0)</f>
        <v>0</v>
      </c>
    </row>
    <row r="13" spans="1:7" ht="15" x14ac:dyDescent="0.2">
      <c r="A13" s="11" t="s">
        <v>114</v>
      </c>
      <c r="B13" s="23" t="s">
        <v>242</v>
      </c>
      <c r="C13" s="17">
        <v>0</v>
      </c>
      <c r="D13" s="17">
        <v>0</v>
      </c>
      <c r="E13" s="17">
        <v>0</v>
      </c>
      <c r="F13" s="17">
        <v>0</v>
      </c>
      <c r="G13" s="18">
        <f>IF(AND(F65&lt;&gt;0,0&lt;&gt;0),IF(100*0/(F65-0)&lt;0.005,"*",100*0/(F65-0)),0)</f>
        <v>0</v>
      </c>
    </row>
    <row r="14" spans="1:7" ht="15" x14ac:dyDescent="0.2">
      <c r="A14" s="11" t="s">
        <v>115</v>
      </c>
      <c r="B14" s="23" t="s">
        <v>243</v>
      </c>
      <c r="C14" s="17">
        <v>0</v>
      </c>
      <c r="D14" s="17">
        <v>0</v>
      </c>
      <c r="E14" s="17">
        <v>0</v>
      </c>
      <c r="F14" s="17">
        <v>0</v>
      </c>
      <c r="G14" s="18">
        <f>IF(AND(F65&lt;&gt;0,0&lt;&gt;0),IF(100*0/(F65-0)&lt;0.005,"*",100*0/(F65-0)),0)</f>
        <v>0</v>
      </c>
    </row>
    <row r="15" spans="1:7" ht="15" x14ac:dyDescent="0.2">
      <c r="A15" s="11" t="s">
        <v>116</v>
      </c>
      <c r="B15" s="23" t="s">
        <v>244</v>
      </c>
      <c r="C15" s="17">
        <v>0</v>
      </c>
      <c r="D15" s="17">
        <v>0</v>
      </c>
      <c r="E15" s="17">
        <v>0</v>
      </c>
      <c r="F15" s="17">
        <v>0</v>
      </c>
      <c r="G15" s="18">
        <f>IF(AND(F65&lt;&gt;0,0&lt;&gt;0),IF(100*0/(F65-0)&lt;0.005,"*",100*0/(F65-0)),0)</f>
        <v>0</v>
      </c>
    </row>
    <row r="16" spans="1:7" ht="15" x14ac:dyDescent="0.2">
      <c r="A16" s="11" t="s">
        <v>117</v>
      </c>
      <c r="B16" s="23" t="s">
        <v>245</v>
      </c>
      <c r="C16" s="17">
        <v>0</v>
      </c>
      <c r="D16" s="17">
        <v>0</v>
      </c>
      <c r="E16" s="17">
        <v>0</v>
      </c>
      <c r="F16" s="17">
        <v>0</v>
      </c>
      <c r="G16" s="18">
        <f>IF(AND(F65&lt;&gt;0,0&lt;&gt;0),IF(100*0/(F65-0)&lt;0.005,"*",100*0/(F65-0)),0)</f>
        <v>0</v>
      </c>
    </row>
    <row r="17" spans="1:7" ht="15" x14ac:dyDescent="0.2">
      <c r="A17" s="11" t="s">
        <v>118</v>
      </c>
      <c r="B17" s="23" t="s">
        <v>246</v>
      </c>
      <c r="C17" s="17">
        <v>0</v>
      </c>
      <c r="D17" s="17">
        <v>0</v>
      </c>
      <c r="E17" s="17">
        <v>0</v>
      </c>
      <c r="F17" s="17">
        <v>0</v>
      </c>
      <c r="G17" s="18">
        <f>IF(AND(F65&lt;&gt;0,0&lt;&gt;0),IF(100*0/(F65-0)&lt;0.005,"*",100*0/(F65-0)),0)</f>
        <v>0</v>
      </c>
    </row>
    <row r="18" spans="1:7" ht="15" x14ac:dyDescent="0.2">
      <c r="A18" s="11" t="s">
        <v>119</v>
      </c>
      <c r="B18" s="23" t="s">
        <v>247</v>
      </c>
      <c r="C18" s="17">
        <v>0</v>
      </c>
      <c r="D18" s="17">
        <v>0</v>
      </c>
      <c r="E18" s="17">
        <v>0</v>
      </c>
      <c r="F18" s="17">
        <v>0</v>
      </c>
      <c r="G18" s="18">
        <f>IF(AND(F65&lt;&gt;0,0&lt;&gt;0),IF(100*0/(F65-0)&lt;0.005,"*",100*0/(F65-0)),0)</f>
        <v>0</v>
      </c>
    </row>
    <row r="19" spans="1:7" ht="15" x14ac:dyDescent="0.2">
      <c r="A19" s="11" t="s">
        <v>120</v>
      </c>
      <c r="B19" s="23" t="s">
        <v>248</v>
      </c>
      <c r="C19" s="17">
        <v>0</v>
      </c>
      <c r="D19" s="17">
        <v>0</v>
      </c>
      <c r="E19" s="17">
        <v>0</v>
      </c>
      <c r="F19" s="17">
        <v>0</v>
      </c>
      <c r="G19" s="18">
        <f>IF(AND(F65&lt;&gt;0,0&lt;&gt;0),IF(100*0/(F65-0)&lt;0.005,"*",100*0/(F65-0)),0)</f>
        <v>0</v>
      </c>
    </row>
    <row r="20" spans="1:7" ht="15" x14ac:dyDescent="0.2">
      <c r="A20" s="11" t="s">
        <v>121</v>
      </c>
      <c r="B20" s="23" t="s">
        <v>249</v>
      </c>
      <c r="C20" s="17">
        <v>0</v>
      </c>
      <c r="D20" s="17">
        <v>0</v>
      </c>
      <c r="E20" s="17">
        <v>0</v>
      </c>
      <c r="F20" s="17">
        <v>0</v>
      </c>
      <c r="G20" s="18">
        <f>IF(AND(F65&lt;&gt;0,0&lt;&gt;0),IF(100*0/(F65-0)&lt;0.005,"*",100*0/(F65-0)),0)</f>
        <v>0</v>
      </c>
    </row>
    <row r="21" spans="1:7" ht="15" x14ac:dyDescent="0.2">
      <c r="A21" s="11" t="s">
        <v>122</v>
      </c>
      <c r="B21" s="23" t="s">
        <v>250</v>
      </c>
      <c r="C21" s="17">
        <v>0</v>
      </c>
      <c r="D21" s="17">
        <v>0</v>
      </c>
      <c r="E21" s="17">
        <v>0</v>
      </c>
      <c r="F21" s="17">
        <v>0</v>
      </c>
      <c r="G21" s="18">
        <f>IF(AND(F65&lt;&gt;0,0&lt;&gt;0),IF(100*0/(F65-0)&lt;0.005,"*",100*0/(F65-0)),0)</f>
        <v>0</v>
      </c>
    </row>
    <row r="22" spans="1:7" ht="15" x14ac:dyDescent="0.2">
      <c r="A22" s="11" t="s">
        <v>123</v>
      </c>
      <c r="B22" s="23" t="s">
        <v>251</v>
      </c>
      <c r="C22" s="17">
        <v>0</v>
      </c>
      <c r="D22" s="17">
        <v>0</v>
      </c>
      <c r="E22" s="17">
        <v>0</v>
      </c>
      <c r="F22" s="17">
        <v>0</v>
      </c>
      <c r="G22" s="18">
        <f>IF(AND(F65&lt;&gt;0,0&lt;&gt;0),IF(100*0/(F65-0)&lt;0.005,"*",100*0/(F65-0)),0)</f>
        <v>0</v>
      </c>
    </row>
    <row r="23" spans="1:7" ht="15" x14ac:dyDescent="0.2">
      <c r="A23" s="11" t="s">
        <v>124</v>
      </c>
      <c r="B23" s="23" t="s">
        <v>252</v>
      </c>
      <c r="C23" s="17">
        <v>0</v>
      </c>
      <c r="D23" s="17">
        <v>0</v>
      </c>
      <c r="E23" s="17">
        <v>0</v>
      </c>
      <c r="F23" s="17">
        <v>0</v>
      </c>
      <c r="G23" s="18">
        <f>IF(AND(F65&lt;&gt;0,0&lt;&gt;0),IF(100*0/(F65-0)&lt;0.005,"*",100*0/(F65-0)),0)</f>
        <v>0</v>
      </c>
    </row>
    <row r="24" spans="1:7" ht="15" x14ac:dyDescent="0.2">
      <c r="A24" s="11" t="s">
        <v>125</v>
      </c>
      <c r="B24" s="23" t="s">
        <v>253</v>
      </c>
      <c r="C24" s="17">
        <v>0</v>
      </c>
      <c r="D24" s="17">
        <v>0</v>
      </c>
      <c r="E24" s="17">
        <v>0</v>
      </c>
      <c r="F24" s="17">
        <v>0</v>
      </c>
      <c r="G24" s="18">
        <f>IF(AND(F65&lt;&gt;0,0&lt;&gt;0),IF(100*0/(F65-0)&lt;0.005,"*",100*0/(F65-0)),0)</f>
        <v>0</v>
      </c>
    </row>
    <row r="25" spans="1:7" ht="15" x14ac:dyDescent="0.2">
      <c r="A25" s="11" t="s">
        <v>126</v>
      </c>
      <c r="B25" s="23" t="s">
        <v>254</v>
      </c>
      <c r="C25" s="17">
        <v>0</v>
      </c>
      <c r="D25" s="17">
        <v>0</v>
      </c>
      <c r="E25" s="17">
        <v>0</v>
      </c>
      <c r="F25" s="17">
        <v>0</v>
      </c>
      <c r="G25" s="18">
        <f>IF(AND(F65&lt;&gt;0,0&lt;&gt;0),IF(100*0/(F65-0)&lt;0.005,"*",100*0/(F65-0)),0)</f>
        <v>0</v>
      </c>
    </row>
    <row r="26" spans="1:7" ht="15" x14ac:dyDescent="0.2">
      <c r="A26" s="11" t="s">
        <v>127</v>
      </c>
      <c r="B26" s="23" t="s">
        <v>255</v>
      </c>
      <c r="C26" s="17">
        <v>0</v>
      </c>
      <c r="D26" s="17">
        <v>0</v>
      </c>
      <c r="E26" s="17">
        <v>0</v>
      </c>
      <c r="F26" s="17">
        <v>0</v>
      </c>
      <c r="G26" s="18">
        <f>IF(AND(F65&lt;&gt;0,0&lt;&gt;0),IF(100*0/(F65-0)&lt;0.005,"*",100*0/(F65-0)),0)</f>
        <v>0</v>
      </c>
    </row>
    <row r="27" spans="1:7" ht="15" x14ac:dyDescent="0.2">
      <c r="A27" s="11" t="s">
        <v>128</v>
      </c>
      <c r="B27" s="23" t="s">
        <v>256</v>
      </c>
      <c r="C27" s="17">
        <v>0</v>
      </c>
      <c r="D27" s="17">
        <v>0</v>
      </c>
      <c r="E27" s="17">
        <v>0</v>
      </c>
      <c r="F27" s="17">
        <v>0</v>
      </c>
      <c r="G27" s="18">
        <f>IF(AND(F65&lt;&gt;0,0&lt;&gt;0),IF(100*0/(F65-0)&lt;0.005,"*",100*0/(F65-0)),0)</f>
        <v>0</v>
      </c>
    </row>
    <row r="28" spans="1:7" ht="15" x14ac:dyDescent="0.2">
      <c r="A28" s="11" t="s">
        <v>129</v>
      </c>
      <c r="B28" s="23" t="s">
        <v>257</v>
      </c>
      <c r="C28" s="17">
        <v>0</v>
      </c>
      <c r="D28" s="17">
        <v>0</v>
      </c>
      <c r="E28" s="17">
        <v>0</v>
      </c>
      <c r="F28" s="17">
        <v>0</v>
      </c>
      <c r="G28" s="18">
        <f>IF(AND(F65&lt;&gt;0,0&lt;&gt;0),IF(100*0/(F65-0)&lt;0.005,"*",100*0/(F65-0)),0)</f>
        <v>0</v>
      </c>
    </row>
    <row r="29" spans="1:7" ht="15" x14ac:dyDescent="0.2">
      <c r="A29" s="11" t="s">
        <v>130</v>
      </c>
      <c r="B29" s="23" t="s">
        <v>258</v>
      </c>
      <c r="C29" s="17">
        <v>0</v>
      </c>
      <c r="D29" s="17">
        <v>0</v>
      </c>
      <c r="E29" s="17">
        <v>0</v>
      </c>
      <c r="F29" s="17">
        <v>0</v>
      </c>
      <c r="G29" s="18">
        <f>IF(AND(F65&lt;&gt;0,0&lt;&gt;0),IF(100*0/(F65-0)&lt;0.005,"*",100*0/(F65-0)),0)</f>
        <v>0</v>
      </c>
    </row>
    <row r="30" spans="1:7" ht="15" x14ac:dyDescent="0.2">
      <c r="A30" s="11" t="s">
        <v>131</v>
      </c>
      <c r="B30" s="23" t="s">
        <v>259</v>
      </c>
      <c r="C30" s="17">
        <v>0</v>
      </c>
      <c r="D30" s="17">
        <v>0</v>
      </c>
      <c r="E30" s="17">
        <v>0</v>
      </c>
      <c r="F30" s="17">
        <v>0</v>
      </c>
      <c r="G30" s="18">
        <f>IF(AND(F65&lt;&gt;0,0&lt;&gt;0),IF(100*0/(F65-0)&lt;0.005,"*",100*0/(F65-0)),0)</f>
        <v>0</v>
      </c>
    </row>
    <row r="31" spans="1:7" ht="15" x14ac:dyDescent="0.2">
      <c r="A31" s="11" t="s">
        <v>132</v>
      </c>
      <c r="B31" s="23" t="s">
        <v>260</v>
      </c>
      <c r="C31" s="17">
        <v>0</v>
      </c>
      <c r="D31" s="17">
        <v>0</v>
      </c>
      <c r="E31" s="17">
        <v>0</v>
      </c>
      <c r="F31" s="17">
        <v>0</v>
      </c>
      <c r="G31" s="18">
        <f>IF(AND(F65&lt;&gt;0,0&lt;&gt;0),IF(100*0/(F65-0)&lt;0.005,"*",100*0/(F65-0)),0)</f>
        <v>0</v>
      </c>
    </row>
    <row r="32" spans="1:7" ht="15" x14ac:dyDescent="0.2">
      <c r="A32" s="11" t="s">
        <v>133</v>
      </c>
      <c r="B32" s="23" t="s">
        <v>261</v>
      </c>
      <c r="C32" s="17">
        <v>0</v>
      </c>
      <c r="D32" s="17">
        <v>0</v>
      </c>
      <c r="E32" s="17">
        <v>0</v>
      </c>
      <c r="F32" s="17">
        <v>0</v>
      </c>
      <c r="G32" s="18">
        <f>IF(AND(F65&lt;&gt;0,0&lt;&gt;0),IF(100*0/(F65-0)&lt;0.005,"*",100*0/(F65-0)),0)</f>
        <v>0</v>
      </c>
    </row>
    <row r="33" spans="1:7" ht="15" x14ac:dyDescent="0.2">
      <c r="A33" s="11" t="s">
        <v>134</v>
      </c>
      <c r="B33" s="23" t="s">
        <v>262</v>
      </c>
      <c r="C33" s="17">
        <v>0</v>
      </c>
      <c r="D33" s="17">
        <v>0</v>
      </c>
      <c r="E33" s="17">
        <v>0</v>
      </c>
      <c r="F33" s="17">
        <v>0</v>
      </c>
      <c r="G33" s="18">
        <f>IF(AND(F65&lt;&gt;0,0&lt;&gt;0),IF(100*0/(F65-0)&lt;0.005,"*",100*0/(F65-0)),0)</f>
        <v>0</v>
      </c>
    </row>
    <row r="34" spans="1:7" ht="15" x14ac:dyDescent="0.2">
      <c r="A34" s="11" t="s">
        <v>135</v>
      </c>
      <c r="B34" s="23" t="s">
        <v>263</v>
      </c>
      <c r="C34" s="17">
        <v>0</v>
      </c>
      <c r="D34" s="17">
        <v>0</v>
      </c>
      <c r="E34" s="17">
        <v>0</v>
      </c>
      <c r="F34" s="17">
        <v>0</v>
      </c>
      <c r="G34" s="18">
        <f>IF(AND(F65&lt;&gt;0,0&lt;&gt;0),IF(100*0/(F65-0)&lt;0.005,"*",100*0/(F65-0)),0)</f>
        <v>0</v>
      </c>
    </row>
    <row r="35" spans="1:7" ht="15" x14ac:dyDescent="0.2">
      <c r="A35" s="11" t="s">
        <v>136</v>
      </c>
      <c r="B35" s="23" t="s">
        <v>264</v>
      </c>
      <c r="C35" s="17">
        <v>0</v>
      </c>
      <c r="D35" s="17">
        <v>0</v>
      </c>
      <c r="E35" s="17">
        <v>0</v>
      </c>
      <c r="F35" s="17">
        <v>0</v>
      </c>
      <c r="G35" s="18">
        <f>IF(AND(F65&lt;&gt;0,0&lt;&gt;0),IF(100*0/(F65-0)&lt;0.005,"*",100*0/(F65-0)),0)</f>
        <v>0</v>
      </c>
    </row>
    <row r="36" spans="1:7" ht="15" x14ac:dyDescent="0.2">
      <c r="A36" s="11" t="s">
        <v>137</v>
      </c>
      <c r="B36" s="23" t="s">
        <v>265</v>
      </c>
      <c r="C36" s="17">
        <v>0</v>
      </c>
      <c r="D36" s="17">
        <v>0</v>
      </c>
      <c r="E36" s="17">
        <v>0</v>
      </c>
      <c r="F36" s="17">
        <v>0</v>
      </c>
      <c r="G36" s="18">
        <f>IF(AND(F65&lt;&gt;0,0&lt;&gt;0),IF(100*0/(F65-0)&lt;0.005,"*",100*0/(F65-0)),0)</f>
        <v>0</v>
      </c>
    </row>
    <row r="37" spans="1:7" ht="15" x14ac:dyDescent="0.2">
      <c r="A37" s="11" t="s">
        <v>138</v>
      </c>
      <c r="B37" s="23" t="s">
        <v>266</v>
      </c>
      <c r="C37" s="17">
        <v>0</v>
      </c>
      <c r="D37" s="17">
        <v>0</v>
      </c>
      <c r="E37" s="17">
        <v>0</v>
      </c>
      <c r="F37" s="17">
        <v>0</v>
      </c>
      <c r="G37" s="18">
        <f>IF(AND(F65&lt;&gt;0,0&lt;&gt;0),IF(100*0/(F65-0)&lt;0.005,"*",100*0/(F65-0)),0)</f>
        <v>0</v>
      </c>
    </row>
    <row r="38" spans="1:7" ht="15" x14ac:dyDescent="0.2">
      <c r="A38" s="11" t="s">
        <v>139</v>
      </c>
      <c r="B38" s="23" t="s">
        <v>267</v>
      </c>
      <c r="C38" s="17">
        <v>0</v>
      </c>
      <c r="D38" s="17">
        <v>0</v>
      </c>
      <c r="E38" s="17">
        <v>0</v>
      </c>
      <c r="F38" s="17">
        <v>0</v>
      </c>
      <c r="G38" s="18">
        <f>IF(AND(F65&lt;&gt;0,0&lt;&gt;0),IF(100*0/(F65-0)&lt;0.005,"*",100*0/(F65-0)),0)</f>
        <v>0</v>
      </c>
    </row>
    <row r="39" spans="1:7" ht="15" x14ac:dyDescent="0.2">
      <c r="A39" s="11" t="s">
        <v>140</v>
      </c>
      <c r="B39" s="23" t="s">
        <v>268</v>
      </c>
      <c r="C39" s="17">
        <v>0</v>
      </c>
      <c r="D39" s="17">
        <v>0</v>
      </c>
      <c r="E39" s="17">
        <v>0</v>
      </c>
      <c r="F39" s="17">
        <v>0</v>
      </c>
      <c r="G39" s="18">
        <f>IF(AND(F65&lt;&gt;0,0&lt;&gt;0),IF(100*0/(F65-0)&lt;0.005,"*",100*0/(F65-0)),0)</f>
        <v>0</v>
      </c>
    </row>
    <row r="40" spans="1:7" ht="15" x14ac:dyDescent="0.2">
      <c r="A40" s="11" t="s">
        <v>141</v>
      </c>
      <c r="B40" s="23" t="s">
        <v>269</v>
      </c>
      <c r="C40" s="17">
        <v>0</v>
      </c>
      <c r="D40" s="17">
        <v>0</v>
      </c>
      <c r="E40" s="17">
        <v>0</v>
      </c>
      <c r="F40" s="17">
        <v>0</v>
      </c>
      <c r="G40" s="18">
        <f>IF(AND(F65&lt;&gt;0,0&lt;&gt;0),IF(100*0/(F65-0)&lt;0.005,"*",100*0/(F65-0)),0)</f>
        <v>0</v>
      </c>
    </row>
    <row r="41" spans="1:7" ht="15" x14ac:dyDescent="0.2">
      <c r="A41" s="11" t="s">
        <v>142</v>
      </c>
      <c r="B41" s="23" t="s">
        <v>270</v>
      </c>
      <c r="C41" s="17">
        <v>0</v>
      </c>
      <c r="D41" s="17">
        <v>0</v>
      </c>
      <c r="E41" s="17">
        <v>0</v>
      </c>
      <c r="F41" s="17">
        <v>0</v>
      </c>
      <c r="G41" s="18">
        <f>IF(AND(F65&lt;&gt;0,0&lt;&gt;0),IF(100*0/(F65-0)&lt;0.005,"*",100*0/(F65-0)),0)</f>
        <v>0</v>
      </c>
    </row>
    <row r="42" spans="1:7" ht="15" x14ac:dyDescent="0.2">
      <c r="A42" s="11" t="s">
        <v>143</v>
      </c>
      <c r="B42" s="23" t="s">
        <v>271</v>
      </c>
      <c r="C42" s="17">
        <v>0</v>
      </c>
      <c r="D42" s="17">
        <v>0</v>
      </c>
      <c r="E42" s="17">
        <v>0</v>
      </c>
      <c r="F42" s="17">
        <v>0</v>
      </c>
      <c r="G42" s="18">
        <f>IF(AND(F65&lt;&gt;0,0&lt;&gt;0),IF(100*0/(F65-0)&lt;0.005,"*",100*0/(F65-0)),0)</f>
        <v>0</v>
      </c>
    </row>
    <row r="43" spans="1:7" ht="15" x14ac:dyDescent="0.2">
      <c r="A43" s="11" t="s">
        <v>144</v>
      </c>
      <c r="B43" s="23" t="s">
        <v>272</v>
      </c>
      <c r="C43" s="17">
        <v>0</v>
      </c>
      <c r="D43" s="17">
        <v>0</v>
      </c>
      <c r="E43" s="17">
        <v>0</v>
      </c>
      <c r="F43" s="17">
        <v>0</v>
      </c>
      <c r="G43" s="18">
        <f>IF(AND(F65&lt;&gt;0,0&lt;&gt;0),IF(100*0/(F65-0)&lt;0.005,"*",100*0/(F65-0)),0)</f>
        <v>0</v>
      </c>
    </row>
    <row r="44" spans="1:7" ht="15" x14ac:dyDescent="0.2">
      <c r="A44" s="11" t="s">
        <v>145</v>
      </c>
      <c r="B44" s="23" t="s">
        <v>273</v>
      </c>
      <c r="C44" s="17">
        <v>0</v>
      </c>
      <c r="D44" s="17">
        <v>0</v>
      </c>
      <c r="E44" s="17">
        <v>0</v>
      </c>
      <c r="F44" s="17">
        <v>0</v>
      </c>
      <c r="G44" s="18">
        <f>IF(AND(F65&lt;&gt;0,0&lt;&gt;0),IF(100*0/(F65-0)&lt;0.005,"*",100*0/(F65-0)),0)</f>
        <v>0</v>
      </c>
    </row>
    <row r="45" spans="1:7" ht="15" x14ac:dyDescent="0.2">
      <c r="A45" s="11" t="s">
        <v>146</v>
      </c>
      <c r="B45" s="23" t="s">
        <v>274</v>
      </c>
      <c r="C45" s="17">
        <v>0</v>
      </c>
      <c r="D45" s="17">
        <v>0</v>
      </c>
      <c r="E45" s="17">
        <v>0</v>
      </c>
      <c r="F45" s="17">
        <v>0</v>
      </c>
      <c r="G45" s="18">
        <f>IF(AND(F65&lt;&gt;0,0&lt;&gt;0),IF(100*0/(F65-0)&lt;0.005,"*",100*0/(F65-0)),0)</f>
        <v>0</v>
      </c>
    </row>
    <row r="46" spans="1:7" ht="15" x14ac:dyDescent="0.2">
      <c r="A46" s="11" t="s">
        <v>147</v>
      </c>
      <c r="B46" s="23" t="s">
        <v>275</v>
      </c>
      <c r="C46" s="17">
        <v>0</v>
      </c>
      <c r="D46" s="17">
        <v>0</v>
      </c>
      <c r="E46" s="17">
        <v>0</v>
      </c>
      <c r="F46" s="17">
        <v>0</v>
      </c>
      <c r="G46" s="18">
        <f>IF(AND(F65&lt;&gt;0,0&lt;&gt;0),IF(100*0/(F65-0)&lt;0.005,"*",100*0/(F65-0)),0)</f>
        <v>0</v>
      </c>
    </row>
    <row r="47" spans="1:7" ht="15" x14ac:dyDescent="0.2">
      <c r="A47" s="11" t="s">
        <v>148</v>
      </c>
      <c r="B47" s="23" t="s">
        <v>276</v>
      </c>
      <c r="C47" s="17">
        <v>0</v>
      </c>
      <c r="D47" s="17">
        <v>0</v>
      </c>
      <c r="E47" s="17">
        <v>0</v>
      </c>
      <c r="F47" s="17">
        <v>0</v>
      </c>
      <c r="G47" s="18">
        <f>IF(AND(F65&lt;&gt;0,0&lt;&gt;0),IF(100*0/(F65-0)&lt;0.005,"*",100*0/(F65-0)),0)</f>
        <v>0</v>
      </c>
    </row>
    <row r="48" spans="1:7" ht="15" x14ac:dyDescent="0.2">
      <c r="A48" s="11" t="s">
        <v>149</v>
      </c>
      <c r="B48" s="23" t="s">
        <v>277</v>
      </c>
      <c r="C48" s="17">
        <v>0</v>
      </c>
      <c r="D48" s="17">
        <v>0</v>
      </c>
      <c r="E48" s="17">
        <v>0</v>
      </c>
      <c r="F48" s="17">
        <v>0</v>
      </c>
      <c r="G48" s="18">
        <f>IF(AND(F65&lt;&gt;0,0&lt;&gt;0),IF(100*0/(F65-0)&lt;0.005,"*",100*0/(F65-0)),0)</f>
        <v>0</v>
      </c>
    </row>
    <row r="49" spans="1:7" ht="15" x14ac:dyDescent="0.2">
      <c r="A49" s="11" t="s">
        <v>150</v>
      </c>
      <c r="B49" s="23" t="s">
        <v>278</v>
      </c>
      <c r="C49" s="17">
        <v>0</v>
      </c>
      <c r="D49" s="17">
        <v>0</v>
      </c>
      <c r="E49" s="17">
        <v>0</v>
      </c>
      <c r="F49" s="17">
        <v>0</v>
      </c>
      <c r="G49" s="18">
        <f>IF(AND(F65&lt;&gt;0,0&lt;&gt;0),IF(100*0/(F65-0)&lt;0.005,"*",100*0/(F65-0)),0)</f>
        <v>0</v>
      </c>
    </row>
    <row r="50" spans="1:7" ht="15" x14ac:dyDescent="0.2">
      <c r="A50" s="11" t="s">
        <v>151</v>
      </c>
      <c r="B50" s="23" t="s">
        <v>279</v>
      </c>
      <c r="C50" s="17">
        <v>0</v>
      </c>
      <c r="D50" s="17">
        <v>0</v>
      </c>
      <c r="E50" s="17">
        <v>0</v>
      </c>
      <c r="F50" s="17">
        <v>0</v>
      </c>
      <c r="G50" s="18">
        <f>IF(AND(F65&lt;&gt;0,0&lt;&gt;0),IF(100*0/(F65-0)&lt;0.005,"*",100*0/(F65-0)),0)</f>
        <v>0</v>
      </c>
    </row>
    <row r="51" spans="1:7" ht="15" x14ac:dyDescent="0.2">
      <c r="A51" s="11" t="s">
        <v>152</v>
      </c>
      <c r="B51" s="23" t="s">
        <v>280</v>
      </c>
      <c r="C51" s="17">
        <v>0</v>
      </c>
      <c r="D51" s="17">
        <v>0</v>
      </c>
      <c r="E51" s="17">
        <v>0</v>
      </c>
      <c r="F51" s="17">
        <v>0</v>
      </c>
      <c r="G51" s="18">
        <f>IF(AND(F65&lt;&gt;0,0&lt;&gt;0),IF(100*0/(F65-0)&lt;0.005,"*",100*0/(F65-0)),0)</f>
        <v>0</v>
      </c>
    </row>
    <row r="52" spans="1:7" ht="15" x14ac:dyDescent="0.2">
      <c r="A52" s="11" t="s">
        <v>153</v>
      </c>
      <c r="B52" s="23" t="s">
        <v>281</v>
      </c>
      <c r="C52" s="17">
        <v>0</v>
      </c>
      <c r="D52" s="17">
        <v>0</v>
      </c>
      <c r="E52" s="17">
        <v>0</v>
      </c>
      <c r="F52" s="17">
        <v>0</v>
      </c>
      <c r="G52" s="18">
        <f>IF(AND(F65&lt;&gt;0,0&lt;&gt;0),IF(100*0/(F65-0)&lt;0.005,"*",100*0/(F65-0)),0)</f>
        <v>0</v>
      </c>
    </row>
    <row r="53" spans="1:7" ht="15" x14ac:dyDescent="0.2">
      <c r="A53" s="11" t="s">
        <v>154</v>
      </c>
      <c r="B53" s="23" t="s">
        <v>282</v>
      </c>
      <c r="C53" s="17">
        <v>0</v>
      </c>
      <c r="D53" s="17">
        <v>0</v>
      </c>
      <c r="E53" s="17">
        <v>0</v>
      </c>
      <c r="F53" s="17">
        <v>0</v>
      </c>
      <c r="G53" s="18">
        <f>IF(AND(F65&lt;&gt;0,0&lt;&gt;0),IF(100*0/(F65-0)&lt;0.005,"*",100*0/(F65-0)),0)</f>
        <v>0</v>
      </c>
    </row>
    <row r="54" spans="1:7" ht="15" x14ac:dyDescent="0.2">
      <c r="A54" s="11" t="s">
        <v>155</v>
      </c>
      <c r="B54" s="23" t="s">
        <v>283</v>
      </c>
      <c r="C54" s="17">
        <v>0</v>
      </c>
      <c r="D54" s="17">
        <v>0</v>
      </c>
      <c r="E54" s="17">
        <v>0</v>
      </c>
      <c r="F54" s="17">
        <v>0</v>
      </c>
      <c r="G54" s="18">
        <f>IF(AND(F65&lt;&gt;0,0&lt;&gt;0),IF(100*0/(F65-0)&lt;0.005,"*",100*0/(F65-0)),0)</f>
        <v>0</v>
      </c>
    </row>
    <row r="55" spans="1:7" ht="15" x14ac:dyDescent="0.2">
      <c r="A55" s="11" t="s">
        <v>156</v>
      </c>
      <c r="B55" s="23" t="s">
        <v>284</v>
      </c>
      <c r="C55" s="17">
        <v>0</v>
      </c>
      <c r="D55" s="17">
        <v>0</v>
      </c>
      <c r="E55" s="17">
        <v>0</v>
      </c>
      <c r="F55" s="17">
        <v>0</v>
      </c>
      <c r="G55" s="18">
        <f>IF(AND(F65&lt;&gt;0,0&lt;&gt;0),IF(100*0/(F65-0)&lt;0.005,"*",100*0/(F65-0)),0)</f>
        <v>0</v>
      </c>
    </row>
    <row r="56" spans="1:7" ht="15" x14ac:dyDescent="0.2">
      <c r="A56" s="11" t="s">
        <v>157</v>
      </c>
      <c r="B56" s="23" t="s">
        <v>285</v>
      </c>
      <c r="C56" s="17">
        <v>0</v>
      </c>
      <c r="D56" s="17">
        <v>0</v>
      </c>
      <c r="E56" s="17">
        <v>0</v>
      </c>
      <c r="F56" s="17">
        <v>0</v>
      </c>
      <c r="G56" s="18">
        <f>IF(AND(F65&lt;&gt;0,0&lt;&gt;0),IF(100*0/(F65-0)&lt;0.005,"*",100*0/(F65-0)),0)</f>
        <v>0</v>
      </c>
    </row>
    <row r="57" spans="1:7" ht="15" x14ac:dyDescent="0.2">
      <c r="A57" s="11" t="s">
        <v>158</v>
      </c>
      <c r="B57" s="23" t="s">
        <v>286</v>
      </c>
      <c r="C57" s="17">
        <v>0</v>
      </c>
      <c r="D57" s="17">
        <v>0</v>
      </c>
      <c r="E57" s="17">
        <v>0</v>
      </c>
      <c r="F57" s="17">
        <v>0</v>
      </c>
      <c r="G57" s="18">
        <f>IF(AND(F65&lt;&gt;0,0&lt;&gt;0),IF(100*0/(F65-0)&lt;0.005,"*",100*0/(F65-0)),0)</f>
        <v>0</v>
      </c>
    </row>
    <row r="58" spans="1:7" ht="15" x14ac:dyDescent="0.2">
      <c r="A58" s="11" t="s">
        <v>159</v>
      </c>
      <c r="B58" s="23" t="s">
        <v>287</v>
      </c>
      <c r="C58" s="17">
        <v>0</v>
      </c>
      <c r="D58" s="17">
        <v>0</v>
      </c>
      <c r="E58" s="17">
        <v>0</v>
      </c>
      <c r="F58" s="17">
        <v>0</v>
      </c>
      <c r="G58" s="18">
        <f>IF(AND(F65&lt;&gt;0,0&lt;&gt;0),IF(100*0/(F65-0)&lt;0.005,"*",100*0/(F65-0)),0)</f>
        <v>0</v>
      </c>
    </row>
    <row r="59" spans="1:7" ht="15" x14ac:dyDescent="0.2">
      <c r="A59" s="11" t="s">
        <v>160</v>
      </c>
      <c r="B59" s="23" t="s">
        <v>288</v>
      </c>
      <c r="C59" s="17">
        <v>0</v>
      </c>
      <c r="D59" s="17">
        <v>0</v>
      </c>
      <c r="E59" s="17">
        <v>0</v>
      </c>
      <c r="F59" s="17">
        <v>0</v>
      </c>
      <c r="G59" s="18">
        <f>IF(AND(F65&lt;&gt;0,0&lt;&gt;0),IF(100*0/(F65-0)&lt;0.005,"*",100*0/(F65-0)),0)</f>
        <v>0</v>
      </c>
    </row>
    <row r="60" spans="1:7" ht="15" x14ac:dyDescent="0.2">
      <c r="A60" s="11" t="s">
        <v>161</v>
      </c>
      <c r="B60" s="23" t="s">
        <v>289</v>
      </c>
      <c r="C60" s="17">
        <v>0</v>
      </c>
      <c r="D60" s="17">
        <v>0</v>
      </c>
      <c r="E60" s="17">
        <v>0</v>
      </c>
      <c r="F60" s="17">
        <v>0</v>
      </c>
      <c r="G60" s="18">
        <f>IF(AND(F65&lt;&gt;0,0&lt;&gt;0),IF(100*0/(F65-0)&lt;0.005,"*",100*0/(F65-0)),0)</f>
        <v>0</v>
      </c>
    </row>
    <row r="61" spans="1:7" ht="15" x14ac:dyDescent="0.2">
      <c r="A61" s="11" t="s">
        <v>162</v>
      </c>
      <c r="B61" s="23" t="s">
        <v>290</v>
      </c>
      <c r="C61" s="17">
        <v>0</v>
      </c>
      <c r="D61" s="17">
        <v>0</v>
      </c>
      <c r="E61" s="17">
        <v>0</v>
      </c>
      <c r="F61" s="17">
        <v>0</v>
      </c>
      <c r="G61" s="18">
        <f>IF(AND(F65&lt;&gt;0,0&lt;&gt;0),IF(100*0/(F65-0)&lt;0.005,"*",100*0/(F65-0)),0)</f>
        <v>0</v>
      </c>
    </row>
    <row r="62" spans="1:7" ht="15" x14ac:dyDescent="0.2">
      <c r="A62" s="11" t="s">
        <v>163</v>
      </c>
      <c r="B62" s="23" t="s">
        <v>291</v>
      </c>
      <c r="C62" s="17">
        <v>0</v>
      </c>
      <c r="D62" s="17">
        <v>0</v>
      </c>
      <c r="E62" s="17">
        <v>0</v>
      </c>
      <c r="F62" s="17">
        <v>0</v>
      </c>
      <c r="G62" s="18">
        <f>IF(AND(F65&lt;&gt;0,0&lt;&gt;0),IF(100*0/(F65-0)&lt;0.005,"*",100*0/(F65-0)),0)</f>
        <v>0</v>
      </c>
    </row>
    <row r="63" spans="1:7" x14ac:dyDescent="0.2">
      <c r="A63" s="11" t="s">
        <v>164</v>
      </c>
      <c r="B63" s="17">
        <v>0</v>
      </c>
      <c r="C63" s="17">
        <v>0</v>
      </c>
      <c r="D63" s="17">
        <v>0</v>
      </c>
      <c r="E63" s="17">
        <v>0</v>
      </c>
      <c r="F63" s="17">
        <v>0</v>
      </c>
      <c r="G63" s="18">
        <f>IF(AND(F65&lt;&gt;0,0&lt;&gt;0),IF(100*0/(F65-0)&lt;0.005,"*",100*0/(F65-0)),0)</f>
        <v>0</v>
      </c>
    </row>
    <row r="64" spans="1:7" x14ac:dyDescent="0.2">
      <c r="A64" s="11" t="s">
        <v>165</v>
      </c>
      <c r="B64" s="17">
        <v>0</v>
      </c>
      <c r="C64" s="17">
        <v>0</v>
      </c>
      <c r="D64" s="17">
        <v>0</v>
      </c>
      <c r="E64" s="17">
        <v>0</v>
      </c>
      <c r="F64" s="17">
        <v>0</v>
      </c>
      <c r="G64" s="18">
        <v>0</v>
      </c>
    </row>
    <row r="65" spans="1:7" ht="15" customHeight="1" x14ac:dyDescent="0.2">
      <c r="A65" s="19" t="s">
        <v>106</v>
      </c>
      <c r="B65" s="20">
        <f>30794+8088+48552+13815+321315+21636+33687+8624+67503+101528+46840+7683+9044+125494+19507+14163+10328+20976+24428+11884+36683+68343+58470+26126+17571+25235+11016+11381+12834+11721+77560+11973+343674+42951+8932+50282+24903+31284+92839+17136+23613+8131+32461+142973+11459+9078+35475+51161+14922+19604+7475+1767+2457+1767+10937+50000+1919+0+0+0</f>
        <v>2352002</v>
      </c>
      <c r="C65" s="20">
        <f>0+0+0+0+0+0+0+0+0+0+0+0+0+0+0+0+0+0+0+0+0+0+0+0+0+0+0+0+0+0+0+0+0+0+0+0+0+0+0+0+0+0+0+0+0+0+0+0+0+0+0+0+0+0+0+0+0+0+0+0</f>
        <v>0</v>
      </c>
      <c r="D65" s="20">
        <f>0+0+0+0+0+0+0+0+0+0+0+0+0+0+0+0+0+0+0+0+0+0+0+0+0+0+0+0+0+0+0+0+0+0+0+0+0+0+0+0+0+0+0+0+0+0+0+0+0+0+0+0+0+0+0+0+0+0+0+0</f>
        <v>0</v>
      </c>
      <c r="E65" s="20">
        <f>SUM(C65:D65)</f>
        <v>0</v>
      </c>
      <c r="F65" s="20">
        <f>0+0+0+0+0+0+0+0+0+0+0+0+0+0+0+0+0+0+0+0+0+0+0+0+0+0+0+0+0+0+0+0+0+0+0+0+0+0+0+0+0+0+0+0+0+0+0+0+0+0+0+0+0+0+0+0+0+0+0+0</f>
        <v>0</v>
      </c>
      <c r="G65" s="22" t="s">
        <v>180</v>
      </c>
    </row>
    <row r="66" spans="1:7" ht="15" customHeight="1" x14ac:dyDescent="0.2">
      <c r="A66" s="65" t="s">
        <v>292</v>
      </c>
      <c r="B66" s="65"/>
      <c r="C66" s="65"/>
      <c r="D66" s="65"/>
      <c r="E66" s="65"/>
      <c r="F66" s="65"/>
      <c r="G66" s="65"/>
    </row>
    <row r="67" spans="1:7" ht="15" customHeight="1" x14ac:dyDescent="0.2">
      <c r="A67" s="65" t="s">
        <v>293</v>
      </c>
      <c r="B67" s="65"/>
      <c r="C67" s="65"/>
      <c r="D67" s="65"/>
      <c r="E67" s="65"/>
      <c r="F67" s="65"/>
      <c r="G67" s="65"/>
    </row>
    <row r="68" spans="1:7" ht="15" customHeight="1" x14ac:dyDescent="0.2">
      <c r="A68" s="65" t="s">
        <v>294</v>
      </c>
      <c r="B68" s="65"/>
      <c r="C68" s="65"/>
      <c r="D68" s="65"/>
      <c r="E68" s="65"/>
      <c r="F68" s="65"/>
      <c r="G68" s="65"/>
    </row>
    <row r="69" spans="1:7" ht="15" customHeight="1" x14ac:dyDescent="0.2">
      <c r="A69" s="65" t="s">
        <v>295</v>
      </c>
      <c r="B69" s="65"/>
      <c r="C69" s="65"/>
      <c r="D69" s="65"/>
      <c r="E69" s="65"/>
      <c r="F69" s="65"/>
      <c r="G69" s="65"/>
    </row>
    <row r="70" spans="1:7" ht="15" customHeight="1" x14ac:dyDescent="0.2">
      <c r="A70" s="65" t="s">
        <v>296</v>
      </c>
      <c r="B70" s="65"/>
      <c r="C70" s="65"/>
      <c r="D70" s="65"/>
      <c r="E70" s="65"/>
      <c r="F70" s="65"/>
      <c r="G70" s="65"/>
    </row>
    <row r="71" spans="1:7" ht="15" customHeight="1" x14ac:dyDescent="0.2">
      <c r="A71" s="65" t="s">
        <v>297</v>
      </c>
      <c r="B71" s="65"/>
      <c r="C71" s="65"/>
      <c r="D71" s="65"/>
      <c r="E71" s="65"/>
      <c r="F71" s="65"/>
      <c r="G71" s="65"/>
    </row>
    <row r="72" spans="1:7" ht="15" customHeight="1" x14ac:dyDescent="0.2">
      <c r="A72" s="65" t="s">
        <v>298</v>
      </c>
      <c r="B72" s="65"/>
      <c r="C72" s="65"/>
      <c r="D72" s="65"/>
      <c r="E72" s="65"/>
      <c r="F72" s="65"/>
      <c r="G72" s="65"/>
    </row>
    <row r="73" spans="1:7" ht="15" customHeight="1" x14ac:dyDescent="0.2">
      <c r="A73" s="65" t="s">
        <v>299</v>
      </c>
      <c r="B73" s="65"/>
      <c r="C73" s="65"/>
      <c r="D73" s="65"/>
      <c r="E73" s="65"/>
      <c r="F73" s="65"/>
      <c r="G73" s="65"/>
    </row>
    <row r="74" spans="1:7" ht="15" customHeight="1" x14ac:dyDescent="0.2">
      <c r="A74" s="65" t="s">
        <v>300</v>
      </c>
      <c r="B74" s="65"/>
      <c r="C74" s="65"/>
      <c r="D74" s="65"/>
      <c r="E74" s="65"/>
      <c r="F74" s="65"/>
      <c r="G74" s="65"/>
    </row>
    <row r="75" spans="1:7" ht="15" customHeight="1" x14ac:dyDescent="0.2">
      <c r="A75" s="65" t="s">
        <v>301</v>
      </c>
      <c r="B75" s="65"/>
      <c r="C75" s="65"/>
      <c r="D75" s="65"/>
      <c r="E75" s="65"/>
      <c r="F75" s="65"/>
      <c r="G75" s="65"/>
    </row>
    <row r="76" spans="1:7" ht="15" customHeight="1" x14ac:dyDescent="0.2">
      <c r="A76" s="65" t="s">
        <v>302</v>
      </c>
      <c r="B76" s="65"/>
      <c r="C76" s="65"/>
      <c r="D76" s="65"/>
      <c r="E76" s="65"/>
      <c r="F76" s="65"/>
      <c r="G76" s="65"/>
    </row>
    <row r="77" spans="1:7" ht="15" customHeight="1" x14ac:dyDescent="0.2">
      <c r="A77" s="65" t="s">
        <v>539</v>
      </c>
      <c r="B77" s="65"/>
      <c r="C77" s="65"/>
      <c r="D77" s="65"/>
      <c r="E77" s="65"/>
      <c r="F77" s="65"/>
      <c r="G77" s="65"/>
    </row>
    <row r="78" spans="1:7" ht="15" customHeight="1" x14ac:dyDescent="0.2">
      <c r="A78" s="65" t="s">
        <v>540</v>
      </c>
      <c r="B78" s="65"/>
      <c r="C78" s="65"/>
      <c r="D78" s="65"/>
      <c r="E78" s="65"/>
      <c r="F78" s="65"/>
      <c r="G78" s="65"/>
    </row>
    <row r="79" spans="1:7" ht="15" customHeight="1" x14ac:dyDescent="0.2">
      <c r="A79" s="65" t="s">
        <v>303</v>
      </c>
      <c r="B79" s="65"/>
      <c r="C79" s="65"/>
      <c r="D79" s="65"/>
      <c r="E79" s="65"/>
      <c r="F79" s="65"/>
      <c r="G79" s="65"/>
    </row>
    <row r="80" spans="1:7" ht="15" customHeight="1" x14ac:dyDescent="0.2">
      <c r="A80" s="65" t="s">
        <v>304</v>
      </c>
      <c r="B80" s="65"/>
      <c r="C80" s="65"/>
      <c r="D80" s="65"/>
      <c r="E80" s="65"/>
      <c r="F80" s="65"/>
      <c r="G80" s="65"/>
    </row>
    <row r="81" spans="1:7" ht="15" customHeight="1" x14ac:dyDescent="0.2">
      <c r="A81" s="65" t="s">
        <v>305</v>
      </c>
      <c r="B81" s="65"/>
      <c r="C81" s="65"/>
      <c r="D81" s="65"/>
      <c r="E81" s="65"/>
      <c r="F81" s="65"/>
      <c r="G81" s="65"/>
    </row>
    <row r="82" spans="1:7" ht="15" customHeight="1" x14ac:dyDescent="0.2">
      <c r="A82" s="65" t="s">
        <v>306</v>
      </c>
      <c r="B82" s="65"/>
      <c r="C82" s="65"/>
      <c r="D82" s="65"/>
      <c r="E82" s="65"/>
      <c r="F82" s="65"/>
      <c r="G82" s="65"/>
    </row>
    <row r="83" spans="1:7" ht="15" customHeight="1" x14ac:dyDescent="0.2">
      <c r="A83" s="65" t="s">
        <v>307</v>
      </c>
      <c r="B83" s="65"/>
      <c r="C83" s="65"/>
      <c r="D83" s="65"/>
      <c r="E83" s="65"/>
      <c r="F83" s="65"/>
      <c r="G83" s="65"/>
    </row>
    <row r="84" spans="1:7" ht="15" customHeight="1" x14ac:dyDescent="0.2">
      <c r="A84" s="65" t="s">
        <v>308</v>
      </c>
      <c r="B84" s="65"/>
      <c r="C84" s="65"/>
      <c r="D84" s="65"/>
      <c r="E84" s="65"/>
      <c r="F84" s="65"/>
      <c r="G84" s="65"/>
    </row>
    <row r="85" spans="1:7" ht="15" customHeight="1" x14ac:dyDescent="0.2">
      <c r="A85" s="65" t="s">
        <v>541</v>
      </c>
      <c r="B85" s="65"/>
      <c r="C85" s="65"/>
      <c r="D85" s="65"/>
      <c r="E85" s="65"/>
      <c r="F85" s="65"/>
      <c r="G85" s="65"/>
    </row>
    <row r="86" spans="1:7" ht="15" customHeight="1" x14ac:dyDescent="0.2">
      <c r="A86" s="65" t="s">
        <v>309</v>
      </c>
      <c r="B86" s="65"/>
      <c r="C86" s="65"/>
      <c r="D86" s="65"/>
      <c r="E86" s="65"/>
      <c r="F86" s="65"/>
      <c r="G86" s="65"/>
    </row>
    <row r="87" spans="1:7" ht="15" customHeight="1" x14ac:dyDescent="0.2">
      <c r="A87" s="65" t="s">
        <v>310</v>
      </c>
      <c r="B87" s="65"/>
      <c r="C87" s="65"/>
      <c r="D87" s="65"/>
      <c r="E87" s="65"/>
      <c r="F87" s="65"/>
      <c r="G87" s="65"/>
    </row>
    <row r="88" spans="1:7" ht="15" customHeight="1" x14ac:dyDescent="0.2">
      <c r="A88" s="65" t="s">
        <v>311</v>
      </c>
      <c r="B88" s="65"/>
      <c r="C88" s="65"/>
      <c r="D88" s="65"/>
      <c r="E88" s="65"/>
      <c r="F88" s="65"/>
      <c r="G88" s="65"/>
    </row>
    <row r="89" spans="1:7" ht="15" customHeight="1" x14ac:dyDescent="0.2">
      <c r="A89" s="65" t="s">
        <v>312</v>
      </c>
      <c r="B89" s="65"/>
      <c r="C89" s="65"/>
      <c r="D89" s="65"/>
      <c r="E89" s="65"/>
      <c r="F89" s="65"/>
      <c r="G89" s="65"/>
    </row>
    <row r="90" spans="1:7" ht="15" customHeight="1" x14ac:dyDescent="0.2">
      <c r="A90" s="65" t="s">
        <v>313</v>
      </c>
      <c r="B90" s="65"/>
      <c r="C90" s="65"/>
      <c r="D90" s="65"/>
      <c r="E90" s="65"/>
      <c r="F90" s="65"/>
      <c r="G90" s="65"/>
    </row>
    <row r="91" spans="1:7" ht="15" customHeight="1" x14ac:dyDescent="0.2">
      <c r="A91" s="65" t="s">
        <v>314</v>
      </c>
      <c r="B91" s="65"/>
      <c r="C91" s="65"/>
      <c r="D91" s="65"/>
      <c r="E91" s="65"/>
      <c r="F91" s="65"/>
      <c r="G91" s="65"/>
    </row>
    <row r="92" spans="1:7" ht="15" customHeight="1" x14ac:dyDescent="0.2">
      <c r="A92" s="65" t="s">
        <v>315</v>
      </c>
      <c r="B92" s="65"/>
      <c r="C92" s="65"/>
      <c r="D92" s="65"/>
      <c r="E92" s="65"/>
      <c r="F92" s="65"/>
      <c r="G92" s="65"/>
    </row>
    <row r="93" spans="1:7" ht="15" customHeight="1" x14ac:dyDescent="0.2">
      <c r="A93" s="65" t="s">
        <v>316</v>
      </c>
      <c r="B93" s="65"/>
      <c r="C93" s="65"/>
      <c r="D93" s="65"/>
      <c r="E93" s="65"/>
      <c r="F93" s="65"/>
      <c r="G93" s="65"/>
    </row>
    <row r="94" spans="1:7" ht="15" customHeight="1" x14ac:dyDescent="0.2">
      <c r="A94" s="65" t="s">
        <v>317</v>
      </c>
      <c r="B94" s="65"/>
      <c r="C94" s="65"/>
      <c r="D94" s="65"/>
      <c r="E94" s="65"/>
      <c r="F94" s="65"/>
      <c r="G94" s="65"/>
    </row>
    <row r="95" spans="1:7" ht="15" customHeight="1" x14ac:dyDescent="0.2">
      <c r="A95" s="65" t="s">
        <v>542</v>
      </c>
      <c r="B95" s="65"/>
      <c r="C95" s="65"/>
      <c r="D95" s="65"/>
      <c r="E95" s="65"/>
      <c r="F95" s="65"/>
      <c r="G95" s="65"/>
    </row>
    <row r="96" spans="1:7" ht="15" customHeight="1" x14ac:dyDescent="0.2">
      <c r="A96" s="65" t="s">
        <v>318</v>
      </c>
      <c r="B96" s="65"/>
      <c r="C96" s="65"/>
      <c r="D96" s="65"/>
      <c r="E96" s="65"/>
      <c r="F96" s="65"/>
      <c r="G96" s="65"/>
    </row>
    <row r="97" spans="1:7" ht="15" customHeight="1" x14ac:dyDescent="0.2">
      <c r="A97" s="65" t="s">
        <v>319</v>
      </c>
      <c r="B97" s="65"/>
      <c r="C97" s="65"/>
      <c r="D97" s="65"/>
      <c r="E97" s="65"/>
      <c r="F97" s="65"/>
      <c r="G97" s="65"/>
    </row>
    <row r="98" spans="1:7" ht="15" customHeight="1" x14ac:dyDescent="0.2">
      <c r="A98" s="65" t="s">
        <v>320</v>
      </c>
      <c r="B98" s="65"/>
      <c r="C98" s="65"/>
      <c r="D98" s="65"/>
      <c r="E98" s="65"/>
      <c r="F98" s="65"/>
      <c r="G98" s="65"/>
    </row>
    <row r="99" spans="1:7" ht="15" customHeight="1" x14ac:dyDescent="0.2">
      <c r="A99" s="65" t="s">
        <v>321</v>
      </c>
      <c r="B99" s="65"/>
      <c r="C99" s="65"/>
      <c r="D99" s="65"/>
      <c r="E99" s="65"/>
      <c r="F99" s="65"/>
      <c r="G99" s="65"/>
    </row>
    <row r="100" spans="1:7" ht="15" customHeight="1" x14ac:dyDescent="0.2">
      <c r="A100" s="65" t="s">
        <v>322</v>
      </c>
      <c r="B100" s="65"/>
      <c r="C100" s="65"/>
      <c r="D100" s="65"/>
      <c r="E100" s="65"/>
      <c r="F100" s="65"/>
      <c r="G100" s="65"/>
    </row>
    <row r="101" spans="1:7" ht="15" customHeight="1" x14ac:dyDescent="0.2">
      <c r="A101" s="65" t="s">
        <v>538</v>
      </c>
      <c r="B101" s="65"/>
      <c r="C101" s="65"/>
      <c r="D101" s="65"/>
      <c r="E101" s="65"/>
      <c r="F101" s="65"/>
      <c r="G101" s="65"/>
    </row>
    <row r="102" spans="1:7" ht="15" customHeight="1" x14ac:dyDescent="0.2">
      <c r="A102" s="65" t="s">
        <v>323</v>
      </c>
      <c r="B102" s="65"/>
      <c r="C102" s="65"/>
      <c r="D102" s="65"/>
      <c r="E102" s="65"/>
      <c r="F102" s="65"/>
      <c r="G102" s="65"/>
    </row>
    <row r="103" spans="1:7" ht="15" customHeight="1" x14ac:dyDescent="0.2">
      <c r="A103" s="65" t="s">
        <v>324</v>
      </c>
      <c r="B103" s="65"/>
      <c r="C103" s="65"/>
      <c r="D103" s="65"/>
      <c r="E103" s="65"/>
      <c r="F103" s="65"/>
      <c r="G103" s="65"/>
    </row>
    <row r="104" spans="1:7" ht="15" customHeight="1" x14ac:dyDescent="0.2">
      <c r="A104" s="65" t="s">
        <v>325</v>
      </c>
      <c r="B104" s="65"/>
      <c r="C104" s="65"/>
      <c r="D104" s="65"/>
      <c r="E104" s="65"/>
      <c r="F104" s="65"/>
      <c r="G104" s="65"/>
    </row>
    <row r="105" spans="1:7" ht="15" customHeight="1" x14ac:dyDescent="0.2">
      <c r="A105" s="65" t="s">
        <v>326</v>
      </c>
      <c r="B105" s="65"/>
      <c r="C105" s="65"/>
      <c r="D105" s="65"/>
      <c r="E105" s="65"/>
      <c r="F105" s="65"/>
      <c r="G105" s="65"/>
    </row>
    <row r="106" spans="1:7" ht="15" customHeight="1" x14ac:dyDescent="0.2">
      <c r="A106" s="65" t="s">
        <v>327</v>
      </c>
      <c r="B106" s="65"/>
      <c r="C106" s="65"/>
      <c r="D106" s="65"/>
      <c r="E106" s="65"/>
      <c r="F106" s="65"/>
      <c r="G106" s="65"/>
    </row>
    <row r="107" spans="1:7" ht="15" customHeight="1" x14ac:dyDescent="0.2">
      <c r="A107" s="65" t="s">
        <v>328</v>
      </c>
      <c r="B107" s="65"/>
      <c r="C107" s="65"/>
      <c r="D107" s="65"/>
      <c r="E107" s="65"/>
      <c r="F107" s="65"/>
      <c r="G107" s="65"/>
    </row>
    <row r="108" spans="1:7" ht="15" customHeight="1" x14ac:dyDescent="0.2">
      <c r="A108" s="65" t="s">
        <v>329</v>
      </c>
      <c r="B108" s="65"/>
      <c r="C108" s="65"/>
      <c r="D108" s="65"/>
      <c r="E108" s="65"/>
      <c r="F108" s="65"/>
      <c r="G108" s="65"/>
    </row>
    <row r="109" spans="1:7" ht="15" customHeight="1" x14ac:dyDescent="0.2">
      <c r="A109" s="65" t="s">
        <v>330</v>
      </c>
      <c r="B109" s="65"/>
      <c r="C109" s="65"/>
      <c r="D109" s="65"/>
      <c r="E109" s="65"/>
      <c r="F109" s="65"/>
      <c r="G109" s="65"/>
    </row>
    <row r="110" spans="1:7" ht="15" customHeight="1" x14ac:dyDescent="0.2">
      <c r="A110" s="65" t="s">
        <v>331</v>
      </c>
      <c r="B110" s="65"/>
      <c r="C110" s="65"/>
      <c r="D110" s="65"/>
      <c r="E110" s="65"/>
      <c r="F110" s="65"/>
      <c r="G110" s="65"/>
    </row>
    <row r="111" spans="1:7" ht="15" customHeight="1" x14ac:dyDescent="0.2">
      <c r="A111" s="65" t="s">
        <v>534</v>
      </c>
      <c r="B111" s="65"/>
      <c r="C111" s="65"/>
      <c r="D111" s="65"/>
      <c r="E111" s="65"/>
      <c r="F111" s="65"/>
      <c r="G111" s="65"/>
    </row>
    <row r="112" spans="1:7" ht="15" customHeight="1" x14ac:dyDescent="0.2">
      <c r="A112" s="65" t="s">
        <v>332</v>
      </c>
      <c r="B112" s="65"/>
      <c r="C112" s="65"/>
      <c r="D112" s="65"/>
      <c r="E112" s="65"/>
      <c r="F112" s="65"/>
      <c r="G112" s="65"/>
    </row>
    <row r="113" spans="1:7" ht="15" customHeight="1" x14ac:dyDescent="0.2">
      <c r="A113" s="65" t="s">
        <v>333</v>
      </c>
      <c r="B113" s="65"/>
      <c r="C113" s="65"/>
      <c r="D113" s="65"/>
      <c r="E113" s="65"/>
      <c r="F113" s="65"/>
      <c r="G113" s="65"/>
    </row>
    <row r="114" spans="1:7" ht="15" customHeight="1" x14ac:dyDescent="0.2">
      <c r="A114" s="65" t="s">
        <v>334</v>
      </c>
      <c r="B114" s="65"/>
      <c r="C114" s="65"/>
      <c r="D114" s="65"/>
      <c r="E114" s="65"/>
      <c r="F114" s="65"/>
      <c r="G114" s="65"/>
    </row>
    <row r="115" spans="1:7" ht="15" customHeight="1" x14ac:dyDescent="0.2">
      <c r="A115" s="65" t="s">
        <v>335</v>
      </c>
      <c r="B115" s="65"/>
      <c r="C115" s="65"/>
      <c r="D115" s="65"/>
      <c r="E115" s="65"/>
      <c r="F115" s="65"/>
      <c r="G115" s="65"/>
    </row>
    <row r="116" spans="1:7" ht="15" customHeight="1" x14ac:dyDescent="0.2">
      <c r="A116" s="65" t="s">
        <v>336</v>
      </c>
      <c r="B116" s="65"/>
      <c r="C116" s="65"/>
      <c r="D116" s="65"/>
      <c r="E116" s="65"/>
      <c r="F116" s="65"/>
      <c r="G116" s="65"/>
    </row>
    <row r="117" spans="1:7" ht="15" customHeight="1" x14ac:dyDescent="0.2">
      <c r="A117" s="65" t="s">
        <v>535</v>
      </c>
      <c r="B117" s="65"/>
      <c r="C117" s="65"/>
      <c r="D117" s="65"/>
      <c r="E117" s="65"/>
      <c r="F117" s="65"/>
      <c r="G117" s="65"/>
    </row>
    <row r="118" spans="1:7" ht="15" customHeight="1" x14ac:dyDescent="0.2">
      <c r="A118" s="65" t="s">
        <v>536</v>
      </c>
      <c r="B118" s="65"/>
      <c r="C118" s="65"/>
      <c r="D118" s="65"/>
      <c r="E118" s="65"/>
      <c r="F118" s="65"/>
      <c r="G118" s="65"/>
    </row>
    <row r="119" spans="1:7" ht="15" customHeight="1" x14ac:dyDescent="0.2">
      <c r="A119" s="65" t="s">
        <v>537</v>
      </c>
      <c r="B119" s="65"/>
      <c r="C119" s="65"/>
      <c r="D119" s="65"/>
      <c r="E119" s="65"/>
      <c r="F119" s="65"/>
      <c r="G119" s="65"/>
    </row>
    <row r="120" spans="1:7" ht="15" customHeight="1" x14ac:dyDescent="0.2">
      <c r="A120" s="65" t="s">
        <v>337</v>
      </c>
      <c r="B120" s="65"/>
      <c r="C120" s="65"/>
      <c r="D120" s="65"/>
      <c r="E120" s="65"/>
      <c r="F120" s="65"/>
      <c r="G120" s="65"/>
    </row>
    <row r="121" spans="1:7" ht="15" customHeight="1" x14ac:dyDescent="0.2">
      <c r="A121" s="65" t="s">
        <v>338</v>
      </c>
      <c r="B121" s="65"/>
      <c r="C121" s="65"/>
      <c r="D121" s="65"/>
      <c r="E121" s="65"/>
      <c r="F121" s="65"/>
      <c r="G121" s="65"/>
    </row>
    <row r="122" spans="1:7" ht="15" customHeight="1" x14ac:dyDescent="0.2">
      <c r="A122" s="65" t="s">
        <v>339</v>
      </c>
      <c r="B122" s="65"/>
      <c r="C122" s="65"/>
      <c r="D122" s="65"/>
      <c r="E122" s="65"/>
      <c r="F122" s="65"/>
      <c r="G122" s="65"/>
    </row>
  </sheetData>
  <mergeCells count="61">
    <mergeCell ref="A121:G121"/>
    <mergeCell ref="A122:G122"/>
    <mergeCell ref="A115:G115"/>
    <mergeCell ref="A116:G116"/>
    <mergeCell ref="A117:G117"/>
    <mergeCell ref="A118:G118"/>
    <mergeCell ref="A119:G119"/>
    <mergeCell ref="A120:G120"/>
    <mergeCell ref="A114:G114"/>
    <mergeCell ref="A103:G103"/>
    <mergeCell ref="A104:G104"/>
    <mergeCell ref="A105:G105"/>
    <mergeCell ref="A106:G106"/>
    <mergeCell ref="A107:G107"/>
    <mergeCell ref="A108:G108"/>
    <mergeCell ref="A109:G109"/>
    <mergeCell ref="A110:G110"/>
    <mergeCell ref="A111:G111"/>
    <mergeCell ref="A112:G112"/>
    <mergeCell ref="A113:G113"/>
    <mergeCell ref="A102:G102"/>
    <mergeCell ref="A91:G91"/>
    <mergeCell ref="A92:G92"/>
    <mergeCell ref="A93:G93"/>
    <mergeCell ref="A94:G94"/>
    <mergeCell ref="A95:G95"/>
    <mergeCell ref="A96:G96"/>
    <mergeCell ref="A97:G97"/>
    <mergeCell ref="A98:G98"/>
    <mergeCell ref="A99:G99"/>
    <mergeCell ref="A100:G100"/>
    <mergeCell ref="A101:G101"/>
    <mergeCell ref="A90:G90"/>
    <mergeCell ref="A79:G79"/>
    <mergeCell ref="A80:G80"/>
    <mergeCell ref="A81:G81"/>
    <mergeCell ref="A82:G82"/>
    <mergeCell ref="A83:G83"/>
    <mergeCell ref="A84:G84"/>
    <mergeCell ref="A85:G85"/>
    <mergeCell ref="A86:G86"/>
    <mergeCell ref="A87:G87"/>
    <mergeCell ref="A88:G88"/>
    <mergeCell ref="A89:G89"/>
    <mergeCell ref="A78:G78"/>
    <mergeCell ref="A67:G67"/>
    <mergeCell ref="A68:G68"/>
    <mergeCell ref="A69:G69"/>
    <mergeCell ref="A70:G70"/>
    <mergeCell ref="A71:G71"/>
    <mergeCell ref="A72:G72"/>
    <mergeCell ref="A73:G73"/>
    <mergeCell ref="A74:G74"/>
    <mergeCell ref="A75:G75"/>
    <mergeCell ref="A76:G76"/>
    <mergeCell ref="A77:G77"/>
    <mergeCell ref="A66:G66"/>
    <mergeCell ref="A4:A5"/>
    <mergeCell ref="B4:B5"/>
    <mergeCell ref="F4:F5"/>
    <mergeCell ref="G4:G5"/>
  </mergeCells>
  <pageMargins left="0.7" right="0.7" top="0.75" bottom="0.75" header="0.3" footer="0.3"/>
  <pageSetup scale="91"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340</v>
      </c>
      <c r="B1" s="10"/>
      <c r="C1" s="10"/>
      <c r="D1" s="10"/>
      <c r="E1" s="10"/>
      <c r="F1" s="10"/>
      <c r="G1" s="12" t="s">
        <v>341</v>
      </c>
    </row>
    <row r="2" spans="1:7" x14ac:dyDescent="0.2">
      <c r="A2" s="13" t="s">
        <v>342</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199754</v>
      </c>
      <c r="C6" s="17">
        <v>881</v>
      </c>
      <c r="D6" s="17">
        <v>195828</v>
      </c>
      <c r="E6" s="17">
        <v>196709</v>
      </c>
      <c r="F6" s="17">
        <v>187541</v>
      </c>
      <c r="G6" s="18">
        <f>IF(AND(F65&lt;&gt;327000,187541&lt;&gt;0),IF(100*187541/(F65-327000)&lt;0.005,"*",100*187541/(F65-327000)),0)</f>
        <v>0.98340243262072258</v>
      </c>
    </row>
    <row r="7" spans="1:7" x14ac:dyDescent="0.2">
      <c r="A7" s="11" t="s">
        <v>108</v>
      </c>
      <c r="B7" s="17">
        <v>41190</v>
      </c>
      <c r="C7" s="17">
        <v>182</v>
      </c>
      <c r="D7" s="17">
        <v>40380</v>
      </c>
      <c r="E7" s="17">
        <v>40562</v>
      </c>
      <c r="F7" s="17">
        <v>38671</v>
      </c>
      <c r="G7" s="18">
        <f>IF(AND(F65&lt;&gt;327000,38671&lt;&gt;0),IF(100*38671/(F65-327000)&lt;0.005,"*",100*38671/(F65-327000)),0)</f>
        <v>0.20277782176631223</v>
      </c>
    </row>
    <row r="8" spans="1:7" x14ac:dyDescent="0.2">
      <c r="A8" s="11" t="s">
        <v>109</v>
      </c>
      <c r="B8" s="17">
        <v>174195</v>
      </c>
      <c r="C8" s="17">
        <v>769</v>
      </c>
      <c r="D8" s="17">
        <v>170771</v>
      </c>
      <c r="E8" s="17">
        <v>171540</v>
      </c>
      <c r="F8" s="17">
        <v>163544</v>
      </c>
      <c r="G8" s="18">
        <f>IF(AND(F65&lt;&gt;327000,163544&lt;&gt;0),IF(100*163544/(F65-327000)&lt;0.005,"*",100*163544/(F65-327000)),0)</f>
        <v>0.85757017100539856</v>
      </c>
    </row>
    <row r="9" spans="1:7" x14ac:dyDescent="0.2">
      <c r="A9" s="11" t="s">
        <v>110</v>
      </c>
      <c r="B9" s="17">
        <v>102537</v>
      </c>
      <c r="C9" s="17">
        <v>452</v>
      </c>
      <c r="D9" s="17">
        <v>100522</v>
      </c>
      <c r="E9" s="17">
        <v>100974</v>
      </c>
      <c r="F9" s="17">
        <v>96268</v>
      </c>
      <c r="G9" s="18">
        <f>IF(AND(F65&lt;&gt;327000,96268&lt;&gt;0),IF(100*96268/(F65-327000)&lt;0.005,"*",100*96268/(F65-327000)),0)</f>
        <v>0.50479727304179733</v>
      </c>
    </row>
    <row r="10" spans="1:7" x14ac:dyDescent="0.2">
      <c r="A10" s="11" t="s">
        <v>111</v>
      </c>
      <c r="B10" s="17">
        <v>3715705</v>
      </c>
      <c r="C10" s="17">
        <v>16396</v>
      </c>
      <c r="D10" s="17">
        <v>3642678</v>
      </c>
      <c r="E10" s="17">
        <v>3659074</v>
      </c>
      <c r="F10" s="17">
        <v>3488525</v>
      </c>
      <c r="G10" s="18">
        <f>IF(AND(F65&lt;&gt;327000,3488525&lt;&gt;0),IF(100*3488525/(F65-327000)&lt;0.005,"*",100*3488525/(F65-327000)),0)</f>
        <v>18.292661184798025</v>
      </c>
    </row>
    <row r="11" spans="1:7" x14ac:dyDescent="0.2">
      <c r="A11" s="11" t="s">
        <v>112</v>
      </c>
      <c r="B11" s="17">
        <v>273945</v>
      </c>
      <c r="C11" s="17">
        <v>1209</v>
      </c>
      <c r="D11" s="17">
        <v>268561</v>
      </c>
      <c r="E11" s="17">
        <v>269770</v>
      </c>
      <c r="F11" s="17">
        <v>257196</v>
      </c>
      <c r="G11" s="18">
        <f>IF(AND(F65&lt;&gt;327000,257196&lt;&gt;0),IF(100*257196/(F65-327000)&lt;0.005,"*",100*257196/(F65-327000)),0)</f>
        <v>1.3486500128522263</v>
      </c>
    </row>
    <row r="12" spans="1:7" x14ac:dyDescent="0.2">
      <c r="A12" s="11" t="s">
        <v>113</v>
      </c>
      <c r="B12" s="17">
        <v>414307</v>
      </c>
      <c r="C12" s="17">
        <v>1828</v>
      </c>
      <c r="D12" s="17">
        <v>406165</v>
      </c>
      <c r="E12" s="17">
        <v>407993</v>
      </c>
      <c r="F12" s="17">
        <v>388976</v>
      </c>
      <c r="G12" s="18">
        <f>IF(AND(F65&lt;&gt;327000,388976&lt;&gt;0),IF(100*388976/(F65-327000)&lt;0.005,"*",100*388976/(F65-327000)),0)</f>
        <v>2.0396603656324652</v>
      </c>
    </row>
    <row r="13" spans="1:7" x14ac:dyDescent="0.2">
      <c r="A13" s="11" t="s">
        <v>114</v>
      </c>
      <c r="B13" s="17">
        <v>42203</v>
      </c>
      <c r="C13" s="17">
        <v>186</v>
      </c>
      <c r="D13" s="17">
        <v>41373</v>
      </c>
      <c r="E13" s="17">
        <v>41559</v>
      </c>
      <c r="F13" s="17">
        <v>39622</v>
      </c>
      <c r="G13" s="18">
        <f>IF(AND(F65&lt;&gt;327000,39622&lt;&gt;0),IF(100*39622/(F65-327000)&lt;0.005,"*",100*39622/(F65-327000)),0)</f>
        <v>0.20776454847365786</v>
      </c>
    </row>
    <row r="14" spans="1:7" x14ac:dyDescent="0.2">
      <c r="A14" s="11" t="s">
        <v>115</v>
      </c>
      <c r="B14" s="17">
        <v>212039</v>
      </c>
      <c r="C14" s="17">
        <v>936</v>
      </c>
      <c r="D14" s="17">
        <v>207872</v>
      </c>
      <c r="E14" s="17">
        <v>208808</v>
      </c>
      <c r="F14" s="17">
        <v>199075</v>
      </c>
      <c r="G14" s="18">
        <f>IF(AND(F65&lt;&gt;327000,199075&lt;&gt;0),IF(100*199075/(F65-327000)&lt;0.005,"*",100*199075/(F65-327000)),0)</f>
        <v>1.04388288040466</v>
      </c>
    </row>
    <row r="15" spans="1:7" x14ac:dyDescent="0.2">
      <c r="A15" s="11" t="s">
        <v>116</v>
      </c>
      <c r="B15" s="17">
        <v>938427</v>
      </c>
      <c r="C15" s="17">
        <v>4141</v>
      </c>
      <c r="D15" s="17">
        <v>919983</v>
      </c>
      <c r="E15" s="17">
        <v>924124</v>
      </c>
      <c r="F15" s="17">
        <v>881051</v>
      </c>
      <c r="G15" s="18">
        <f>IF(AND(F65&lt;&gt;327000,881051&lt;&gt;0),IF(100*881051/(F65-327000)&lt;0.005,"*",100*881051/(F65-327000)),0)</f>
        <v>4.6199374892046015</v>
      </c>
    </row>
    <row r="16" spans="1:7" x14ac:dyDescent="0.2">
      <c r="A16" s="11" t="s">
        <v>117</v>
      </c>
      <c r="B16" s="17">
        <v>516947</v>
      </c>
      <c r="C16" s="17">
        <v>2281</v>
      </c>
      <c r="D16" s="17">
        <v>506787</v>
      </c>
      <c r="E16" s="17">
        <v>509068</v>
      </c>
      <c r="F16" s="17">
        <v>485340</v>
      </c>
      <c r="G16" s="18">
        <f>IF(AND(F65&lt;&gt;327000,485340&lt;&gt;0),IF(100*485340/(F65-327000)&lt;0.005,"*",100*485340/(F65-327000)),0)</f>
        <v>2.5449610306447203</v>
      </c>
    </row>
    <row r="17" spans="1:7" x14ac:dyDescent="0.2">
      <c r="A17" s="11" t="s">
        <v>118</v>
      </c>
      <c r="B17" s="17">
        <v>128436</v>
      </c>
      <c r="C17" s="17">
        <v>567</v>
      </c>
      <c r="D17" s="17">
        <v>125912</v>
      </c>
      <c r="E17" s="17">
        <v>126479</v>
      </c>
      <c r="F17" s="17">
        <v>120584</v>
      </c>
      <c r="G17" s="18">
        <f>IF(AND(F65&lt;&gt;327000,120584&lt;&gt;0),IF(100*120584/(F65-327000)&lt;0.005,"*",100*120584/(F65-327000)),0)</f>
        <v>0.63230226422562108</v>
      </c>
    </row>
    <row r="18" spans="1:7" x14ac:dyDescent="0.2">
      <c r="A18" s="11" t="s">
        <v>119</v>
      </c>
      <c r="B18" s="17">
        <v>40177</v>
      </c>
      <c r="C18" s="17">
        <v>177</v>
      </c>
      <c r="D18" s="17">
        <v>39387</v>
      </c>
      <c r="E18" s="17">
        <v>39564</v>
      </c>
      <c r="F18" s="17">
        <v>37720</v>
      </c>
      <c r="G18" s="18">
        <f>IF(AND(F65&lt;&gt;327000,37720&lt;&gt;0),IF(100*37720/(F65-327000)&lt;0.005,"*",100*37720/(F65-327000)),0)</f>
        <v>0.19779109505896661</v>
      </c>
    </row>
    <row r="19" spans="1:7" x14ac:dyDescent="0.2">
      <c r="A19" s="11" t="s">
        <v>120</v>
      </c>
      <c r="B19" s="17">
        <v>959731</v>
      </c>
      <c r="C19" s="17">
        <v>4235</v>
      </c>
      <c r="D19" s="17">
        <v>940869</v>
      </c>
      <c r="E19" s="17">
        <v>945104</v>
      </c>
      <c r="F19" s="17">
        <v>901053</v>
      </c>
      <c r="G19" s="18">
        <f>IF(AND(F65&lt;&gt;327000,901053&lt;&gt;0),IF(100*901053/(F65-327000)&lt;0.005,"*",100*901053/(F65-327000)),0)</f>
        <v>4.724821303715987</v>
      </c>
    </row>
    <row r="20" spans="1:7" x14ac:dyDescent="0.2">
      <c r="A20" s="11" t="s">
        <v>121</v>
      </c>
      <c r="B20" s="17">
        <v>210741</v>
      </c>
      <c r="C20" s="17">
        <v>930</v>
      </c>
      <c r="D20" s="17">
        <v>206599</v>
      </c>
      <c r="E20" s="17">
        <v>207529</v>
      </c>
      <c r="F20" s="17">
        <v>197856</v>
      </c>
      <c r="G20" s="18">
        <f>IF(AND(F65&lt;&gt;327000,197856&lt;&gt;0),IF(100*197856/(F65-327000)&lt;0.005,"*",100*197856/(F65-327000)),0)</f>
        <v>1.0374908511131202</v>
      </c>
    </row>
    <row r="21" spans="1:7" x14ac:dyDescent="0.2">
      <c r="A21" s="11" t="s">
        <v>122</v>
      </c>
      <c r="B21" s="17">
        <v>101878</v>
      </c>
      <c r="C21" s="17">
        <v>450</v>
      </c>
      <c r="D21" s="17">
        <v>99876</v>
      </c>
      <c r="E21" s="17">
        <v>100326</v>
      </c>
      <c r="F21" s="17">
        <v>95649</v>
      </c>
      <c r="G21" s="18">
        <f>IF(AND(F65&lt;&gt;327000,95649&lt;&gt;0),IF(100*95649/(F65-327000)&lt;0.005,"*",100*95649/(F65-327000)),0)</f>
        <v>0.50155144356561765</v>
      </c>
    </row>
    <row r="22" spans="1:7" x14ac:dyDescent="0.2">
      <c r="A22" s="11" t="s">
        <v>123</v>
      </c>
      <c r="B22" s="17">
        <v>67084</v>
      </c>
      <c r="C22" s="17">
        <v>296</v>
      </c>
      <c r="D22" s="17">
        <v>65765</v>
      </c>
      <c r="E22" s="17">
        <v>66061</v>
      </c>
      <c r="F22" s="17">
        <v>62982</v>
      </c>
      <c r="G22" s="18">
        <f>IF(AND(F65&lt;&gt;327000,62982&lt;&gt;0),IF(100*62982/(F65-327000)&lt;0.005,"*",100*62982/(F65-327000)),0)</f>
        <v>0.33025659461834134</v>
      </c>
    </row>
    <row r="23" spans="1:7" x14ac:dyDescent="0.2">
      <c r="A23" s="11" t="s">
        <v>124</v>
      </c>
      <c r="B23" s="17">
        <v>205664</v>
      </c>
      <c r="C23" s="17">
        <v>908</v>
      </c>
      <c r="D23" s="17">
        <v>201622</v>
      </c>
      <c r="E23" s="17">
        <v>202530</v>
      </c>
      <c r="F23" s="17">
        <v>193090</v>
      </c>
      <c r="G23" s="18">
        <f>IF(AND(F65&lt;&gt;327000,193090&lt;&gt;0),IF(100*193090/(F65-327000)&lt;0.005,"*",100*193090/(F65-327000)),0)</f>
        <v>1.0124995372464438</v>
      </c>
    </row>
    <row r="24" spans="1:7" x14ac:dyDescent="0.2">
      <c r="A24" s="11" t="s">
        <v>125</v>
      </c>
      <c r="B24" s="17">
        <v>359884</v>
      </c>
      <c r="C24" s="17">
        <v>1588</v>
      </c>
      <c r="D24" s="17">
        <v>352811</v>
      </c>
      <c r="E24" s="17">
        <v>354399</v>
      </c>
      <c r="F24" s="17">
        <v>337881</v>
      </c>
      <c r="G24" s="18">
        <f>IF(AND(F65&lt;&gt;327000,337881&lt;&gt;0),IF(100*337881/(F65-327000)&lt;0.005,"*",100*337881/(F65-327000)),0)</f>
        <v>1.7717352330227649</v>
      </c>
    </row>
    <row r="25" spans="1:7" x14ac:dyDescent="0.2">
      <c r="A25" s="11" t="s">
        <v>126</v>
      </c>
      <c r="B25" s="17">
        <v>87779</v>
      </c>
      <c r="C25" s="17">
        <v>387</v>
      </c>
      <c r="D25" s="17">
        <v>86054</v>
      </c>
      <c r="E25" s="17">
        <v>86441</v>
      </c>
      <c r="F25" s="17">
        <v>82412</v>
      </c>
      <c r="G25" s="18">
        <f>IF(AND(F65&lt;&gt;327000,82412&lt;&gt;0),IF(100*82412/(F65-327000)&lt;0.005,"*",100*82412/(F65-327000)),0)</f>
        <v>0.43214103197241666</v>
      </c>
    </row>
    <row r="26" spans="1:7" x14ac:dyDescent="0.2">
      <c r="A26" s="11" t="s">
        <v>127</v>
      </c>
      <c r="B26" s="17">
        <v>572635</v>
      </c>
      <c r="C26" s="17">
        <v>2527</v>
      </c>
      <c r="D26" s="17">
        <v>561381</v>
      </c>
      <c r="E26" s="17">
        <v>563908</v>
      </c>
      <c r="F26" s="17">
        <v>537624</v>
      </c>
      <c r="G26" s="18">
        <f>IF(AND(F65&lt;&gt;327000,537624&lt;&gt;0),IF(100*537624/(F65-327000)&lt;0.005,"*",100*537624/(F65-327000)),0)</f>
        <v>2.8191208825551923</v>
      </c>
    </row>
    <row r="27" spans="1:7" x14ac:dyDescent="0.2">
      <c r="A27" s="11" t="s">
        <v>128</v>
      </c>
      <c r="B27" s="17">
        <v>1023415</v>
      </c>
      <c r="C27" s="17">
        <v>4516</v>
      </c>
      <c r="D27" s="17">
        <v>1003302</v>
      </c>
      <c r="E27" s="17">
        <v>1007818</v>
      </c>
      <c r="F27" s="17">
        <v>960843</v>
      </c>
      <c r="G27" s="18">
        <f>IF(AND(F65&lt;&gt;327000,960843&lt;&gt;0),IF(100*960843/(F65-327000)&lt;0.005,"*",100*960843/(F65-327000)),0)</f>
        <v>5.038340115316613</v>
      </c>
    </row>
    <row r="28" spans="1:7" x14ac:dyDescent="0.2">
      <c r="A28" s="11" t="s">
        <v>129</v>
      </c>
      <c r="B28" s="17">
        <v>372839</v>
      </c>
      <c r="C28" s="17">
        <v>1645</v>
      </c>
      <c r="D28" s="17">
        <v>365511</v>
      </c>
      <c r="E28" s="17">
        <v>367156</v>
      </c>
      <c r="F28" s="17">
        <v>350043</v>
      </c>
      <c r="G28" s="18">
        <f>IF(AND(F65&lt;&gt;327000,350043&lt;&gt;0),IF(100*350043/(F65-327000)&lt;0.005,"*",100*350043/(F65-327000)),0)</f>
        <v>1.8355087032801125</v>
      </c>
    </row>
    <row r="29" spans="1:7" x14ac:dyDescent="0.2">
      <c r="A29" s="11" t="s">
        <v>130</v>
      </c>
      <c r="B29" s="17">
        <v>241125</v>
      </c>
      <c r="C29" s="17">
        <v>1064</v>
      </c>
      <c r="D29" s="17">
        <v>236386</v>
      </c>
      <c r="E29" s="17">
        <v>237450</v>
      </c>
      <c r="F29" s="17">
        <v>226382</v>
      </c>
      <c r="G29" s="18">
        <f>IF(AND(F65&lt;&gt;327000,226382&lt;&gt;0),IF(100*226382/(F65-327000)&lt;0.005,"*",100*226382/(F65-327000)),0)</f>
        <v>1.1870716776680534</v>
      </c>
    </row>
    <row r="30" spans="1:7" x14ac:dyDescent="0.2">
      <c r="A30" s="11" t="s">
        <v>131</v>
      </c>
      <c r="B30" s="17">
        <v>163300</v>
      </c>
      <c r="C30" s="17">
        <v>721</v>
      </c>
      <c r="D30" s="17">
        <v>160091</v>
      </c>
      <c r="E30" s="17">
        <v>160812</v>
      </c>
      <c r="F30" s="17">
        <v>153316</v>
      </c>
      <c r="G30" s="18">
        <f>IF(AND(F65&lt;&gt;327000,153316&lt;&gt;0),IF(100*153316/(F65-327000)&lt;0.005,"*",100*153316/(F65-327000)),0)</f>
        <v>0.80393795148622804</v>
      </c>
    </row>
    <row r="31" spans="1:7" x14ac:dyDescent="0.2">
      <c r="A31" s="11" t="s">
        <v>132</v>
      </c>
      <c r="B31" s="17">
        <v>258332</v>
      </c>
      <c r="C31" s="17">
        <v>1140</v>
      </c>
      <c r="D31" s="17">
        <v>253255</v>
      </c>
      <c r="E31" s="17">
        <v>254395</v>
      </c>
      <c r="F31" s="17">
        <v>242538</v>
      </c>
      <c r="G31" s="18">
        <f>IF(AND(F65&lt;&gt;327000,242538&lt;&gt;0),IF(100*242538/(F65-327000)&lt;0.005,"*",100*242538/(F65-327000)),0)</f>
        <v>1.2717883513629809</v>
      </c>
    </row>
    <row r="32" spans="1:7" x14ac:dyDescent="0.2">
      <c r="A32" s="11" t="s">
        <v>133</v>
      </c>
      <c r="B32" s="17">
        <v>35332</v>
      </c>
      <c r="C32" s="17">
        <v>156</v>
      </c>
      <c r="D32" s="17">
        <v>34637</v>
      </c>
      <c r="E32" s="17">
        <v>34793</v>
      </c>
      <c r="F32" s="17">
        <v>33172</v>
      </c>
      <c r="G32" s="18">
        <f>IF(AND(F65&lt;&gt;327000,33172&lt;&gt;0),IF(100*33172/(F65-327000)&lt;0.005,"*",100*33172/(F65-327000)),0)</f>
        <v>0.17394290045853764</v>
      </c>
    </row>
    <row r="33" spans="1:7" x14ac:dyDescent="0.2">
      <c r="A33" s="11" t="s">
        <v>134</v>
      </c>
      <c r="B33" s="17">
        <v>69567</v>
      </c>
      <c r="C33" s="17">
        <v>307</v>
      </c>
      <c r="D33" s="17">
        <v>68199</v>
      </c>
      <c r="E33" s="17">
        <v>68506</v>
      </c>
      <c r="F33" s="17">
        <v>65313</v>
      </c>
      <c r="G33" s="18">
        <f>IF(AND(F65&lt;&gt;327000,65313&lt;&gt;0),IF(100*65313/(F65-327000)&lt;0.005,"*",100*65313/(F65-327000)),0)</f>
        <v>0.34247958090101499</v>
      </c>
    </row>
    <row r="34" spans="1:7" x14ac:dyDescent="0.2">
      <c r="A34" s="11" t="s">
        <v>135</v>
      </c>
      <c r="B34" s="17">
        <v>145253</v>
      </c>
      <c r="C34" s="17">
        <v>641</v>
      </c>
      <c r="D34" s="17">
        <v>142398</v>
      </c>
      <c r="E34" s="17">
        <v>143039</v>
      </c>
      <c r="F34" s="17">
        <v>136372</v>
      </c>
      <c r="G34" s="18">
        <f>IF(AND(F65&lt;&gt;327000,136372&lt;&gt;0),IF(100*136372/(F65-327000)&lt;0.005,"*",100*136372/(F65-327000)),0)</f>
        <v>0.71508926870046108</v>
      </c>
    </row>
    <row r="35" spans="1:7" x14ac:dyDescent="0.2">
      <c r="A35" s="11" t="s">
        <v>136</v>
      </c>
      <c r="B35" s="17">
        <v>86893</v>
      </c>
      <c r="C35" s="17">
        <v>383</v>
      </c>
      <c r="D35" s="17">
        <v>85186</v>
      </c>
      <c r="E35" s="17">
        <v>85569</v>
      </c>
      <c r="F35" s="17">
        <v>81581</v>
      </c>
      <c r="G35" s="18">
        <f>IF(AND(F65&lt;&gt;327000,81581&lt;&gt;0),IF(100*81581/(F65-327000)&lt;0.005,"*",100*81581/(F65-327000)),0)</f>
        <v>0.42778354522814299</v>
      </c>
    </row>
    <row r="36" spans="1:7" x14ac:dyDescent="0.2">
      <c r="A36" s="11" t="s">
        <v>137</v>
      </c>
      <c r="B36" s="17">
        <v>764227</v>
      </c>
      <c r="C36" s="17">
        <v>3372</v>
      </c>
      <c r="D36" s="17">
        <v>749207</v>
      </c>
      <c r="E36" s="17">
        <v>752579</v>
      </c>
      <c r="F36" s="17">
        <v>717502</v>
      </c>
      <c r="G36" s="18">
        <f>IF(AND(F65&lt;&gt;327000,717502&lt;&gt;0),IF(100*717502/(F65-327000)&lt;0.005,"*",100*717502/(F65-327000)),0)</f>
        <v>3.7623410998674087</v>
      </c>
    </row>
    <row r="37" spans="1:7" x14ac:dyDescent="0.2">
      <c r="A37" s="11" t="s">
        <v>138</v>
      </c>
      <c r="B37" s="17">
        <v>79016</v>
      </c>
      <c r="C37" s="17">
        <v>349</v>
      </c>
      <c r="D37" s="17">
        <v>77463</v>
      </c>
      <c r="E37" s="17">
        <v>77812</v>
      </c>
      <c r="F37" s="17">
        <v>74185</v>
      </c>
      <c r="G37" s="18">
        <f>IF(AND(F65&lt;&gt;327000,74185&lt;&gt;0),IF(100*74185/(F65-327000)&lt;0.005,"*",100*74185/(F65-327000)),0)</f>
        <v>0.38900138883747182</v>
      </c>
    </row>
    <row r="38" spans="1:7" x14ac:dyDescent="0.2">
      <c r="A38" s="11" t="s">
        <v>139</v>
      </c>
      <c r="B38" s="17">
        <v>2510335</v>
      </c>
      <c r="C38" s="17">
        <v>11077</v>
      </c>
      <c r="D38" s="17">
        <v>2460999</v>
      </c>
      <c r="E38" s="17">
        <v>2472076</v>
      </c>
      <c r="F38" s="17">
        <v>2356852</v>
      </c>
      <c r="G38" s="18">
        <f>IF(AND(F65&lt;&gt;327000,2356852&lt;&gt;0),IF(100*2356852/(F65-327000)&lt;0.005,"*",100*2356852/(F65-327000)),0)</f>
        <v>12.358545545384823</v>
      </c>
    </row>
    <row r="39" spans="1:7" x14ac:dyDescent="0.2">
      <c r="A39" s="11" t="s">
        <v>140</v>
      </c>
      <c r="B39" s="17">
        <v>377538</v>
      </c>
      <c r="C39" s="17">
        <v>1666</v>
      </c>
      <c r="D39" s="17">
        <v>370118</v>
      </c>
      <c r="E39" s="17">
        <v>371784</v>
      </c>
      <c r="F39" s="17">
        <v>354455</v>
      </c>
      <c r="G39" s="18">
        <f>IF(AND(F65&lt;&gt;327000,354455&lt;&gt;0),IF(100*354455/(F65-327000)&lt;0.005,"*",100*354455/(F65-327000)),0)</f>
        <v>1.8586437592557266</v>
      </c>
    </row>
    <row r="40" spans="1:7" x14ac:dyDescent="0.2">
      <c r="A40" s="11" t="s">
        <v>141</v>
      </c>
      <c r="B40" s="17">
        <v>37073</v>
      </c>
      <c r="C40" s="17">
        <v>164</v>
      </c>
      <c r="D40" s="17">
        <v>36345</v>
      </c>
      <c r="E40" s="17">
        <v>36509</v>
      </c>
      <c r="F40" s="17">
        <v>34807</v>
      </c>
      <c r="G40" s="18">
        <f>IF(AND(F65&lt;&gt;327000,34807&lt;&gt;0),IF(100*34807/(F65-327000)&lt;0.005,"*",100*34807/(F65-327000)),0)</f>
        <v>0.1825162949553937</v>
      </c>
    </row>
    <row r="41" spans="1:7" x14ac:dyDescent="0.2">
      <c r="A41" s="11" t="s">
        <v>142</v>
      </c>
      <c r="B41" s="17">
        <v>570763</v>
      </c>
      <c r="C41" s="17">
        <v>2519</v>
      </c>
      <c r="D41" s="17">
        <v>559546</v>
      </c>
      <c r="E41" s="17">
        <v>562065</v>
      </c>
      <c r="F41" s="17">
        <v>535866</v>
      </c>
      <c r="G41" s="18">
        <f>IF(AND(F65&lt;&gt;327000,535866&lt;&gt;0),IF(100*535866/(F65-327000)&lt;0.005,"*",100*535866/(F65-327000)),0)</f>
        <v>2.8099025170961878</v>
      </c>
    </row>
    <row r="42" spans="1:7" x14ac:dyDescent="0.2">
      <c r="A42" s="11" t="s">
        <v>143</v>
      </c>
      <c r="B42" s="17">
        <v>140345</v>
      </c>
      <c r="C42" s="17">
        <v>619</v>
      </c>
      <c r="D42" s="17">
        <v>137586</v>
      </c>
      <c r="E42" s="17">
        <v>138205</v>
      </c>
      <c r="F42" s="17">
        <v>131764</v>
      </c>
      <c r="G42" s="18">
        <f>IF(AND(F65&lt;&gt;327000,131764&lt;&gt;0),IF(100*131764/(F65-327000)&lt;0.005,"*",100*131764/(F65-327000)),0)</f>
        <v>0.69092645411849618</v>
      </c>
    </row>
    <row r="43" spans="1:7" x14ac:dyDescent="0.2">
      <c r="A43" s="11" t="s">
        <v>144</v>
      </c>
      <c r="B43" s="17">
        <v>250237</v>
      </c>
      <c r="C43" s="17">
        <v>1104</v>
      </c>
      <c r="D43" s="17">
        <v>245319</v>
      </c>
      <c r="E43" s="17">
        <v>246423</v>
      </c>
      <c r="F43" s="17">
        <v>234938</v>
      </c>
      <c r="G43" s="18">
        <f>IF(AND(F65&lt;&gt;327000,234938&lt;&gt;0),IF(100*234938/(F65-327000)&lt;0.005,"*",100*234938/(F65-327000)),0)</f>
        <v>1.2319364870350873</v>
      </c>
    </row>
    <row r="44" spans="1:7" x14ac:dyDescent="0.2">
      <c r="A44" s="11" t="s">
        <v>145</v>
      </c>
      <c r="B44" s="17">
        <v>632446</v>
      </c>
      <c r="C44" s="17">
        <v>2791</v>
      </c>
      <c r="D44" s="17">
        <v>620016</v>
      </c>
      <c r="E44" s="17">
        <v>622807</v>
      </c>
      <c r="F44" s="17">
        <v>593778</v>
      </c>
      <c r="G44" s="18">
        <f>IF(AND(F65&lt;&gt;327000,593778&lt;&gt;0),IF(100*593778/(F65-327000)&lt;0.005,"*",100*593778/(F65-327000)),0)</f>
        <v>3.1135737232747367</v>
      </c>
    </row>
    <row r="45" spans="1:7" x14ac:dyDescent="0.2">
      <c r="A45" s="11" t="s">
        <v>146</v>
      </c>
      <c r="B45" s="17">
        <v>85824</v>
      </c>
      <c r="C45" s="17">
        <v>379</v>
      </c>
      <c r="D45" s="17">
        <v>84137</v>
      </c>
      <c r="E45" s="17">
        <v>84516</v>
      </c>
      <c r="F45" s="17">
        <v>80576</v>
      </c>
      <c r="G45" s="18">
        <f>IF(AND(F65&lt;&gt;327000,80576&lt;&gt;0),IF(100*80576/(F65-327000)&lt;0.005,"*",100*80576/(F65-327000)),0)</f>
        <v>0.42251366053741496</v>
      </c>
    </row>
    <row r="46" spans="1:7" x14ac:dyDescent="0.2">
      <c r="A46" s="11" t="s">
        <v>147</v>
      </c>
      <c r="B46" s="17">
        <v>162242</v>
      </c>
      <c r="C46" s="17">
        <v>716</v>
      </c>
      <c r="D46" s="17">
        <v>159053</v>
      </c>
      <c r="E46" s="17">
        <v>159769</v>
      </c>
      <c r="F46" s="17">
        <v>152323</v>
      </c>
      <c r="G46" s="18">
        <f>IF(AND(F65&lt;&gt;327000,152323&lt;&gt;0),IF(100*152323/(F65-327000)&lt;0.005,"*",100*152323/(F65-327000)),0)</f>
        <v>0.7987309907918072</v>
      </c>
    </row>
    <row r="47" spans="1:7" x14ac:dyDescent="0.2">
      <c r="A47" s="11" t="s">
        <v>148</v>
      </c>
      <c r="B47" s="17">
        <v>30816</v>
      </c>
      <c r="C47" s="17">
        <v>136</v>
      </c>
      <c r="D47" s="17">
        <v>30210</v>
      </c>
      <c r="E47" s="17">
        <v>30346</v>
      </c>
      <c r="F47" s="17">
        <v>28932</v>
      </c>
      <c r="G47" s="18">
        <f>IF(AND(F65&lt;&gt;327000,28932&lt;&gt;0),IF(100*28932/(F65-327000)&lt;0.005,"*",100*28932/(F65-327000)),0)</f>
        <v>0.15170975509666018</v>
      </c>
    </row>
    <row r="48" spans="1:7" x14ac:dyDescent="0.2">
      <c r="A48" s="11" t="s">
        <v>149</v>
      </c>
      <c r="B48" s="17">
        <v>227586</v>
      </c>
      <c r="C48" s="17">
        <v>1004</v>
      </c>
      <c r="D48" s="17">
        <v>223113</v>
      </c>
      <c r="E48" s="17">
        <v>224117</v>
      </c>
      <c r="F48" s="17">
        <v>213671</v>
      </c>
      <c r="G48" s="18">
        <f>IF(AND(F65&lt;&gt;327000,213671&lt;&gt;0),IF(100*213671/(F65-327000)&lt;0.005,"*",100*213671/(F65-327000)),0)</f>
        <v>1.1204194345796514</v>
      </c>
    </row>
    <row r="49" spans="1:7" x14ac:dyDescent="0.2">
      <c r="A49" s="11" t="s">
        <v>150</v>
      </c>
      <c r="B49" s="17">
        <v>1091013</v>
      </c>
      <c r="C49" s="17">
        <v>4814</v>
      </c>
      <c r="D49" s="17">
        <v>1069571</v>
      </c>
      <c r="E49" s="17">
        <v>1074385</v>
      </c>
      <c r="F49" s="17">
        <v>1024308</v>
      </c>
      <c r="G49" s="18">
        <f>IF(AND(F65&lt;&gt;327000,1024308&lt;&gt;0),IF(100*1024308/(F65-327000)&lt;0.005,"*",100*1024308/(F65-327000)),0)</f>
        <v>5.3711294007863195</v>
      </c>
    </row>
    <row r="50" spans="1:7" x14ac:dyDescent="0.2">
      <c r="A50" s="11" t="s">
        <v>151</v>
      </c>
      <c r="B50" s="17">
        <v>77980</v>
      </c>
      <c r="C50" s="17">
        <v>344</v>
      </c>
      <c r="D50" s="17">
        <v>76448</v>
      </c>
      <c r="E50" s="17">
        <v>76792</v>
      </c>
      <c r="F50" s="17">
        <v>73212</v>
      </c>
      <c r="G50" s="18">
        <f>IF(AND(F65&lt;&gt;327000,73212&lt;&gt;0),IF(100*73212/(F65-327000)&lt;0.005,"*",100*73212/(F65-327000)),0)</f>
        <v>0.38389930147022966</v>
      </c>
    </row>
    <row r="51" spans="1:7" x14ac:dyDescent="0.2">
      <c r="A51" s="11" t="s">
        <v>152</v>
      </c>
      <c r="B51" s="17">
        <v>59361</v>
      </c>
      <c r="C51" s="17">
        <v>262</v>
      </c>
      <c r="D51" s="17">
        <v>58194</v>
      </c>
      <c r="E51" s="17">
        <v>58456</v>
      </c>
      <c r="F51" s="17">
        <v>55732</v>
      </c>
      <c r="G51" s="18">
        <f>IF(AND(F65&lt;&gt;327000,55732&lt;&gt;0),IF(100*55732/(F65-327000)&lt;0.005,"*",100*55732/(F65-327000)),0)</f>
        <v>0.29224001351607443</v>
      </c>
    </row>
    <row r="52" spans="1:7" x14ac:dyDescent="0.2">
      <c r="A52" s="11" t="s">
        <v>153</v>
      </c>
      <c r="B52" s="17">
        <v>420769</v>
      </c>
      <c r="C52" s="17">
        <v>1857</v>
      </c>
      <c r="D52" s="17">
        <v>412499</v>
      </c>
      <c r="E52" s="17">
        <v>414356</v>
      </c>
      <c r="F52" s="17">
        <v>395043</v>
      </c>
      <c r="G52" s="18">
        <f>IF(AND(F65&lt;&gt;327000,395043&lt;&gt;0),IF(100*395043/(F65-327000)&lt;0.005,"*",100*395043/(F65-327000)),0)</f>
        <v>2.0714736894321142</v>
      </c>
    </row>
    <row r="53" spans="1:7" x14ac:dyDescent="0.2">
      <c r="A53" s="11" t="s">
        <v>154</v>
      </c>
      <c r="B53" s="17">
        <v>535306</v>
      </c>
      <c r="C53" s="17">
        <v>2362</v>
      </c>
      <c r="D53" s="17">
        <v>524786</v>
      </c>
      <c r="E53" s="17">
        <v>527148</v>
      </c>
      <c r="F53" s="17">
        <v>502577</v>
      </c>
      <c r="G53" s="18">
        <f>IF(AND(F65&lt;&gt;327000,502577&lt;&gt;0),IF(100*502577/(F65-327000)&lt;0.005,"*",100*502577/(F65-327000)),0)</f>
        <v>2.6353461076736546</v>
      </c>
    </row>
    <row r="54" spans="1:7" x14ac:dyDescent="0.2">
      <c r="A54" s="11" t="s">
        <v>155</v>
      </c>
      <c r="B54" s="17">
        <v>78785</v>
      </c>
      <c r="C54" s="17">
        <v>348</v>
      </c>
      <c r="D54" s="17">
        <v>77236</v>
      </c>
      <c r="E54" s="17">
        <v>77584</v>
      </c>
      <c r="F54" s="17">
        <v>73968</v>
      </c>
      <c r="G54" s="18">
        <f>IF(AND(F65&lt;&gt;327000,73968&lt;&gt;0),IF(100*73968/(F65-327000)&lt;0.005,"*",100*73968/(F65-327000)),0)</f>
        <v>0.38786351323758328</v>
      </c>
    </row>
    <row r="55" spans="1:7" x14ac:dyDescent="0.2">
      <c r="A55" s="11" t="s">
        <v>156</v>
      </c>
      <c r="B55" s="17">
        <v>158711</v>
      </c>
      <c r="C55" s="17">
        <v>700</v>
      </c>
      <c r="D55" s="17">
        <v>155592</v>
      </c>
      <c r="E55" s="17">
        <v>156292</v>
      </c>
      <c r="F55" s="17">
        <v>149008</v>
      </c>
      <c r="G55" s="18">
        <f>IF(AND(F65&lt;&gt;327000,149008&lt;&gt;0),IF(100*149008/(F65-327000)&lt;0.005,"*",100*149008/(F65-327000)),0)</f>
        <v>0.7813482368119431</v>
      </c>
    </row>
    <row r="56" spans="1:7" x14ac:dyDescent="0.2">
      <c r="A56" s="11" t="s">
        <v>157</v>
      </c>
      <c r="B56" s="17">
        <v>14817</v>
      </c>
      <c r="C56" s="17">
        <v>65</v>
      </c>
      <c r="D56" s="17">
        <v>14526</v>
      </c>
      <c r="E56" s="17">
        <v>14591</v>
      </c>
      <c r="F56" s="17">
        <v>13911</v>
      </c>
      <c r="G56" s="18">
        <f>IF(AND(F65&lt;&gt;327000,13911&lt;&gt;0),IF(100*13911/(F65-327000)&lt;0.005,"*",100*13911/(F65-327000)),0)</f>
        <v>7.2944642719122071E-2</v>
      </c>
    </row>
    <row r="57" spans="1:7" x14ac:dyDescent="0.2">
      <c r="A57" s="11" t="s">
        <v>158</v>
      </c>
      <c r="B57" s="17">
        <v>0</v>
      </c>
      <c r="C57" s="17">
        <v>0</v>
      </c>
      <c r="D57" s="17">
        <v>0</v>
      </c>
      <c r="E57" s="17">
        <v>0</v>
      </c>
      <c r="F57" s="17">
        <v>0</v>
      </c>
      <c r="G57" s="18">
        <f>IF(AND(F65&lt;&gt;327000,0&lt;&gt;0),IF(100*0/(F65-327000)&lt;0.005,"*",100*0/(F65-327000)),0)</f>
        <v>0</v>
      </c>
    </row>
    <row r="58" spans="1:7" x14ac:dyDescent="0.2">
      <c r="A58" s="11" t="s">
        <v>159</v>
      </c>
      <c r="B58" s="17">
        <v>32235</v>
      </c>
      <c r="C58" s="17">
        <v>142</v>
      </c>
      <c r="D58" s="17">
        <v>31601</v>
      </c>
      <c r="E58" s="17">
        <v>31743</v>
      </c>
      <c r="F58" s="17">
        <v>30264</v>
      </c>
      <c r="G58" s="18">
        <f>IF(AND(F65&lt;&gt;327000,30264&lt;&gt;0),IF(100*30264/(F65-327000)&lt;0.005,"*",100*30264/(F65-327000)),0)</f>
        <v>0.15869431868675943</v>
      </c>
    </row>
    <row r="59" spans="1:7" x14ac:dyDescent="0.2">
      <c r="A59" s="11" t="s">
        <v>160</v>
      </c>
      <c r="B59" s="17">
        <v>3181</v>
      </c>
      <c r="C59" s="17">
        <v>14</v>
      </c>
      <c r="D59" s="17">
        <v>3119</v>
      </c>
      <c r="E59" s="17">
        <v>3133</v>
      </c>
      <c r="F59" s="17">
        <v>2987</v>
      </c>
      <c r="G59" s="18">
        <f>IF(AND(F65&lt;&gt;327000,2987&lt;&gt;0),IF(100*2987/(F65-327000)&lt;0.005,"*",100*2987/(F65-327000)),0)</f>
        <v>1.5662831414133969E-2</v>
      </c>
    </row>
    <row r="60" spans="1:7" x14ac:dyDescent="0.2">
      <c r="A60" s="11" t="s">
        <v>161</v>
      </c>
      <c r="B60" s="17">
        <v>195776</v>
      </c>
      <c r="C60" s="17">
        <v>864</v>
      </c>
      <c r="D60" s="17">
        <v>191929</v>
      </c>
      <c r="E60" s="17">
        <v>192793</v>
      </c>
      <c r="F60" s="17">
        <v>183807</v>
      </c>
      <c r="G60" s="18">
        <f>IF(AND(F65&lt;&gt;327000,183807&lt;&gt;0),IF(100*183807/(F65-327000)&lt;0.005,"*",100*183807/(F65-327000)),0)</f>
        <v>0.96382258243646535</v>
      </c>
    </row>
    <row r="61" spans="1:7" x14ac:dyDescent="0.2">
      <c r="A61" s="11" t="s">
        <v>162</v>
      </c>
      <c r="B61" s="17">
        <v>0</v>
      </c>
      <c r="C61" s="17">
        <v>0</v>
      </c>
      <c r="D61" s="17">
        <v>0</v>
      </c>
      <c r="E61" s="17">
        <v>0</v>
      </c>
      <c r="F61" s="17">
        <v>0</v>
      </c>
      <c r="G61" s="18">
        <f>IF(AND(F65&lt;&gt;327000,0&lt;&gt;0),IF(100*0/(F65-327000)&lt;0.005,"*",100*0/(F65-327000)),0)</f>
        <v>0</v>
      </c>
    </row>
    <row r="62" spans="1:7" x14ac:dyDescent="0.2">
      <c r="A62" s="11" t="s">
        <v>163</v>
      </c>
      <c r="B62" s="17">
        <v>14848</v>
      </c>
      <c r="C62" s="17">
        <v>66</v>
      </c>
      <c r="D62" s="17">
        <v>14556</v>
      </c>
      <c r="E62" s="17">
        <v>14622</v>
      </c>
      <c r="F62" s="17">
        <v>13940</v>
      </c>
      <c r="G62" s="18">
        <f>IF(AND(F65&lt;&gt;327000,13940&lt;&gt;0),IF(100*13940/(F65-327000)&lt;0.005,"*",100*13940/(F65-327000)),0)</f>
        <v>7.3096709043531133E-2</v>
      </c>
    </row>
    <row r="63" spans="1:7" x14ac:dyDescent="0.2">
      <c r="A63" s="11" t="s">
        <v>164</v>
      </c>
      <c r="B63" s="17">
        <v>0</v>
      </c>
      <c r="C63" s="17">
        <v>0</v>
      </c>
      <c r="D63" s="17">
        <v>0</v>
      </c>
      <c r="E63" s="17">
        <v>0</v>
      </c>
      <c r="F63" s="17">
        <v>0</v>
      </c>
      <c r="G63" s="18">
        <f>IF(AND(F65&lt;&gt;327000,0&lt;&gt;0),IF(100*0/(F65-327000)&lt;0.005,"*",100*0/(F65-327000)),0)</f>
        <v>0</v>
      </c>
    </row>
    <row r="64" spans="1:7" ht="15" x14ac:dyDescent="0.2">
      <c r="A64" s="11" t="s">
        <v>165</v>
      </c>
      <c r="B64" s="17">
        <v>0</v>
      </c>
      <c r="C64" s="23" t="s">
        <v>343</v>
      </c>
      <c r="D64" s="23" t="s">
        <v>344</v>
      </c>
      <c r="E64" s="17">
        <v>619310</v>
      </c>
      <c r="F64" s="23" t="s">
        <v>345</v>
      </c>
      <c r="G64" s="18">
        <v>0</v>
      </c>
    </row>
    <row r="65" spans="1:7" ht="15" customHeight="1" x14ac:dyDescent="0.2">
      <c r="A65" s="19" t="s">
        <v>106</v>
      </c>
      <c r="B65" s="20">
        <f>199754+41190+174195+102537+3715705+273945+414307+42203+212039+938427+516947+128436+40177+959731+210741+101878+67084+205664+359884+87779+572635+1023415+372839+241125+163300+258332+35332+69567+145253+86893+764227+79016+2510335+377538+37073+570763+140345+250237+632446+85824+162242+30816+227586+1091013+77980+59361+420769+535306+78785+158711+14817+0+32235+3181+195776+0+14848+0+0+0</f>
        <v>20312544</v>
      </c>
      <c r="C65" s="20">
        <f>881+182+769+452+16396+1209+1828+186+936+4141+2281+567+177+4235+930+450+296+908+1588+387+2527+4516+1645+1064+721+1140+156+307+641+383+3372+349+11077+1666+164+2519+619+1104+2791+379+716+136+1004+4814+344+262+1857+2362+348+700+65+0+142+14+864+0+66+0+378445+0</f>
        <v>468078</v>
      </c>
      <c r="D65" s="20">
        <f>195828+40380+170771+100522+3642678+268561+406165+41373+207872+919983+506787+125912+39387+940869+206599+99876+65765+201622+352811+86054+561381+1003302+365511+236386+160091+253255+34637+68199+142398+85186+749207+77463+2460999+370118+36345+559546+137586+245319+620016+84137+159053+30210+223113+1069571+76448+58194+412499+524786+77236+155592+14526+0+31601+3119+191929+0+14556+0+240865+0</f>
        <v>20154195</v>
      </c>
      <c r="E65" s="20">
        <f>SUM(C65:D65)</f>
        <v>20622273</v>
      </c>
      <c r="F65" s="20">
        <f>187541+38671+163544+96268+3488525+257196+388976+39622+199075+881051+485340+120584+37720+901053+197856+95649+62982+193090+337881+82412+537624+960843+350043+226382+153316+242538+33172+65313+136372+81581+717502+74185+2356852+354455+34807+535866+131764+234938+593778+80576+152323+28932+213671+1024308+73212+55732+395043+502577+73968+149008+13911+0+30264+2987+183807+0+13940+0+327000+0</f>
        <v>19397626</v>
      </c>
      <c r="G65" s="21" t="s">
        <v>197</v>
      </c>
    </row>
    <row r="66" spans="1:7" ht="30.75" customHeight="1" x14ac:dyDescent="0.2">
      <c r="A66" s="65" t="s">
        <v>346</v>
      </c>
      <c r="B66" s="65"/>
      <c r="C66" s="65"/>
      <c r="D66" s="65"/>
      <c r="E66" s="65"/>
      <c r="F66" s="65"/>
      <c r="G66" s="65"/>
    </row>
    <row r="67" spans="1:7" ht="33.75" customHeight="1" x14ac:dyDescent="0.2">
      <c r="A67" s="65" t="s">
        <v>347</v>
      </c>
      <c r="B67" s="65"/>
      <c r="C67" s="65"/>
      <c r="D67" s="65"/>
      <c r="E67" s="65"/>
      <c r="F67" s="65"/>
      <c r="G67" s="65"/>
    </row>
    <row r="68" spans="1:7" ht="21" customHeight="1" x14ac:dyDescent="0.2">
      <c r="A68" s="65" t="s">
        <v>348</v>
      </c>
      <c r="B68" s="65"/>
      <c r="C68" s="65"/>
      <c r="D68" s="65"/>
      <c r="E68" s="65"/>
      <c r="F68" s="65"/>
      <c r="G68" s="65"/>
    </row>
    <row r="69" spans="1:7" ht="15" customHeight="1" x14ac:dyDescent="0.2">
      <c r="A69" s="65" t="s">
        <v>198</v>
      </c>
      <c r="B69" s="65"/>
      <c r="C69" s="65"/>
      <c r="D69" s="65"/>
      <c r="E69" s="65"/>
      <c r="F69" s="65"/>
      <c r="G69" s="65"/>
    </row>
  </sheetData>
  <mergeCells count="8">
    <mergeCell ref="A67:G67"/>
    <mergeCell ref="A68:G68"/>
    <mergeCell ref="A69:G69"/>
    <mergeCell ref="A4:A5"/>
    <mergeCell ref="B4:B5"/>
    <mergeCell ref="F4:F5"/>
    <mergeCell ref="G4:G5"/>
    <mergeCell ref="A66:G66"/>
  </mergeCells>
  <pageMargins left="0.7" right="0.7" top="0.75" bottom="0.75" header="0.3" footer="0.3"/>
  <pageSetup scale="7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340</v>
      </c>
      <c r="B1" s="10"/>
      <c r="C1" s="10"/>
      <c r="D1" s="10"/>
      <c r="E1" s="10"/>
      <c r="F1" s="10"/>
      <c r="G1" s="12" t="s">
        <v>349</v>
      </c>
    </row>
    <row r="2" spans="1:7" x14ac:dyDescent="0.2">
      <c r="A2" s="13" t="s">
        <v>350</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121755</v>
      </c>
      <c r="C6" s="17">
        <v>23148</v>
      </c>
      <c r="D6" s="17">
        <v>133379</v>
      </c>
      <c r="E6" s="17">
        <v>156527</v>
      </c>
      <c r="F6" s="17">
        <v>80881</v>
      </c>
      <c r="G6" s="18">
        <f>IF(AND(F65&lt;&gt;46902,80881&lt;&gt;0),IF(100*80881/(F65-46902)&lt;0.005,"*",100*80881/(F65-46902)),0)</f>
        <v>3.0893037617384835</v>
      </c>
    </row>
    <row r="7" spans="1:7" x14ac:dyDescent="0.2">
      <c r="A7" s="11" t="s">
        <v>108</v>
      </c>
      <c r="B7" s="17">
        <v>8294</v>
      </c>
      <c r="C7" s="17">
        <v>1577</v>
      </c>
      <c r="D7" s="17">
        <v>9085</v>
      </c>
      <c r="E7" s="17">
        <v>10662</v>
      </c>
      <c r="F7" s="17">
        <v>5483</v>
      </c>
      <c r="G7" s="18">
        <f>IF(AND(F65&lt;&gt;46902,5483&lt;&gt;0),IF(100*5483/(F65-46902)&lt;0.005,"*",100*5483/(F65-46902)),0)</f>
        <v>0.20942684345658566</v>
      </c>
    </row>
    <row r="8" spans="1:7" x14ac:dyDescent="0.2">
      <c r="A8" s="11" t="s">
        <v>109</v>
      </c>
      <c r="B8" s="17">
        <v>19463</v>
      </c>
      <c r="C8" s="17">
        <v>3700</v>
      </c>
      <c r="D8" s="17">
        <v>21322</v>
      </c>
      <c r="E8" s="17">
        <v>25022</v>
      </c>
      <c r="F8" s="17">
        <v>12932</v>
      </c>
      <c r="G8" s="18">
        <f>IF(AND(F65&lt;&gt;46902,12932&lt;&gt;0),IF(100*12932/(F65-46902)&lt;0.005,"*",100*12932/(F65-46902)),0)</f>
        <v>0.4939463686997202</v>
      </c>
    </row>
    <row r="9" spans="1:7" x14ac:dyDescent="0.2">
      <c r="A9" s="11" t="s">
        <v>110</v>
      </c>
      <c r="B9" s="17">
        <v>31782</v>
      </c>
      <c r="C9" s="17">
        <v>6042</v>
      </c>
      <c r="D9" s="17">
        <v>34816</v>
      </c>
      <c r="E9" s="17">
        <v>40858</v>
      </c>
      <c r="F9" s="17">
        <v>21431</v>
      </c>
      <c r="G9" s="18">
        <f>IF(AND(F65&lt;&gt;46902,21431&lt;&gt;0),IF(100*21431/(F65-46902)&lt;0.005,"*",100*21431/(F65-46902)),0)</f>
        <v>0.8185713445409607</v>
      </c>
    </row>
    <row r="10" spans="1:7" x14ac:dyDescent="0.2">
      <c r="A10" s="11" t="s">
        <v>111</v>
      </c>
      <c r="B10" s="17">
        <v>104977</v>
      </c>
      <c r="C10" s="17">
        <v>19958</v>
      </c>
      <c r="D10" s="17">
        <v>114999</v>
      </c>
      <c r="E10" s="17">
        <v>134957</v>
      </c>
      <c r="F10" s="17">
        <v>70108</v>
      </c>
      <c r="G10" s="18">
        <f>IF(AND(F65&lt;&gt;46902,70108&lt;&gt;0),IF(100*70108/(F65-46902)&lt;0.005,"*",100*70108/(F65-46902)),0)</f>
        <v>2.6778218386019161</v>
      </c>
    </row>
    <row r="11" spans="1:7" x14ac:dyDescent="0.2">
      <c r="A11" s="11" t="s">
        <v>112</v>
      </c>
      <c r="B11" s="17">
        <v>26274</v>
      </c>
      <c r="C11" s="17">
        <v>4995</v>
      </c>
      <c r="D11" s="17">
        <v>28782</v>
      </c>
      <c r="E11" s="17">
        <v>33777</v>
      </c>
      <c r="F11" s="17">
        <v>17546</v>
      </c>
      <c r="G11" s="18">
        <f>IF(AND(F65&lt;&gt;46902,17546&lt;&gt;0),IF(100*17546/(F65-46902)&lt;0.005,"*",100*17546/(F65-46902)),0)</f>
        <v>0.67018117732796867</v>
      </c>
    </row>
    <row r="12" spans="1:7" x14ac:dyDescent="0.2">
      <c r="A12" s="11" t="s">
        <v>113</v>
      </c>
      <c r="B12" s="17">
        <v>63342</v>
      </c>
      <c r="C12" s="17">
        <v>12043</v>
      </c>
      <c r="D12" s="17">
        <v>69389</v>
      </c>
      <c r="E12" s="17">
        <v>81432</v>
      </c>
      <c r="F12" s="17">
        <v>41994</v>
      </c>
      <c r="G12" s="18">
        <f>IF(AND(F65&lt;&gt;46902,41994&lt;&gt;0),IF(100*41994/(F65-46902)&lt;0.005,"*",100*41994/(F65-46902)),0)</f>
        <v>1.6039888499208204</v>
      </c>
    </row>
    <row r="13" spans="1:7" x14ac:dyDescent="0.2">
      <c r="A13" s="11" t="s">
        <v>114</v>
      </c>
      <c r="B13" s="17">
        <v>11035</v>
      </c>
      <c r="C13" s="17">
        <v>2098</v>
      </c>
      <c r="D13" s="17">
        <v>12088</v>
      </c>
      <c r="E13" s="17">
        <v>14186</v>
      </c>
      <c r="F13" s="17">
        <v>7306</v>
      </c>
      <c r="G13" s="18">
        <f>IF(AND(F65&lt;&gt;46902,7306&lt;&gt;0),IF(100*7306/(F65-46902)&lt;0.005,"*",100*7306/(F65-46902)),0)</f>
        <v>0.27905754482834483</v>
      </c>
    </row>
    <row r="14" spans="1:7" x14ac:dyDescent="0.2">
      <c r="A14" s="11" t="s">
        <v>115</v>
      </c>
      <c r="B14" s="17">
        <v>50104</v>
      </c>
      <c r="C14" s="17">
        <v>9526</v>
      </c>
      <c r="D14" s="17">
        <v>54887</v>
      </c>
      <c r="E14" s="17">
        <v>64413</v>
      </c>
      <c r="F14" s="17">
        <v>33089</v>
      </c>
      <c r="G14" s="18">
        <f>IF(AND(F65&lt;&gt;46902,33089&lt;&gt;0),IF(100*33089/(F65-46902)&lt;0.005,"*",100*33089/(F65-46902)),0)</f>
        <v>1.2638564331816455</v>
      </c>
    </row>
    <row r="15" spans="1:7" x14ac:dyDescent="0.2">
      <c r="A15" s="11" t="s">
        <v>116</v>
      </c>
      <c r="B15" s="17">
        <v>116428</v>
      </c>
      <c r="C15" s="17">
        <v>22135</v>
      </c>
      <c r="D15" s="17">
        <v>115680</v>
      </c>
      <c r="E15" s="17">
        <v>137815</v>
      </c>
      <c r="F15" s="17">
        <v>77203</v>
      </c>
      <c r="G15" s="18">
        <f>IF(AND(F65&lt;&gt;46902,77203&lt;&gt;0),IF(100*77203/(F65-46902)&lt;0.005,"*",100*77203/(F65-46902)),0)</f>
        <v>2.9488200976434036</v>
      </c>
    </row>
    <row r="16" spans="1:7" x14ac:dyDescent="0.2">
      <c r="A16" s="11" t="s">
        <v>117</v>
      </c>
      <c r="B16" s="17">
        <v>105517</v>
      </c>
      <c r="C16" s="17">
        <v>20061</v>
      </c>
      <c r="D16" s="17">
        <v>114602</v>
      </c>
      <c r="E16" s="17">
        <v>134663</v>
      </c>
      <c r="F16" s="17">
        <v>70288</v>
      </c>
      <c r="G16" s="18">
        <f>IF(AND(F65&lt;&gt;46902,70288&lt;&gt;0),IF(100*70288/(F65-46902)&lt;0.005,"*",100*70288/(F65-46902)),0)</f>
        <v>2.6846970587044487</v>
      </c>
    </row>
    <row r="17" spans="1:7" x14ac:dyDescent="0.2">
      <c r="A17" s="11" t="s">
        <v>118</v>
      </c>
      <c r="B17" s="17">
        <v>23420</v>
      </c>
      <c r="C17" s="17">
        <v>4453</v>
      </c>
      <c r="D17" s="17">
        <v>25656</v>
      </c>
      <c r="E17" s="17">
        <v>30109</v>
      </c>
      <c r="F17" s="17">
        <v>15484</v>
      </c>
      <c r="G17" s="18">
        <f>IF(AND(F65&lt;&gt;46902,15484&lt;&gt;0),IF(100*15484/(F65-46902)&lt;0.005,"*",100*15484/(F65-46902)),0)</f>
        <v>0.59142171148673583</v>
      </c>
    </row>
    <row r="18" spans="1:7" x14ac:dyDescent="0.2">
      <c r="A18" s="11" t="s">
        <v>119</v>
      </c>
      <c r="B18" s="17">
        <v>1207</v>
      </c>
      <c r="C18" s="17">
        <v>229</v>
      </c>
      <c r="D18" s="17">
        <v>1322</v>
      </c>
      <c r="E18" s="17">
        <v>1551</v>
      </c>
      <c r="F18" s="17">
        <v>834</v>
      </c>
      <c r="G18" s="18">
        <f>IF(AND(F65&lt;&gt;46902,834&lt;&gt;0),IF(100*834/(F65-46902)&lt;0.005,"*",100*834/(F65-46902)),0)</f>
        <v>3.1855186475067014E-2</v>
      </c>
    </row>
    <row r="19" spans="1:7" x14ac:dyDescent="0.2">
      <c r="A19" s="11" t="s">
        <v>120</v>
      </c>
      <c r="B19" s="17">
        <v>249136</v>
      </c>
      <c r="C19" s="17">
        <v>47366</v>
      </c>
      <c r="D19" s="17">
        <v>261057</v>
      </c>
      <c r="E19" s="17">
        <v>308423</v>
      </c>
      <c r="F19" s="17">
        <v>164863</v>
      </c>
      <c r="G19" s="18">
        <f>IF(AND(F65&lt;&gt;46902,164863&lt;&gt;0),IF(100*164863/(F65-46902)&lt;0.005,"*",100*164863/(F65-46902)),0)</f>
        <v>6.2970522875767063</v>
      </c>
    </row>
    <row r="20" spans="1:7" x14ac:dyDescent="0.2">
      <c r="A20" s="11" t="s">
        <v>121</v>
      </c>
      <c r="B20" s="17">
        <v>42276</v>
      </c>
      <c r="C20" s="17">
        <v>8038</v>
      </c>
      <c r="D20" s="17">
        <v>46312</v>
      </c>
      <c r="E20" s="17">
        <v>54350</v>
      </c>
      <c r="F20" s="17">
        <v>28115</v>
      </c>
      <c r="G20" s="18">
        <f>IF(AND(F65&lt;&gt;46902,28115&lt;&gt;0),IF(100*28115/(F65-46902)&lt;0.005,"*",100*28115/(F65-46902)),0)</f>
        <v>1.0738711843483322</v>
      </c>
    </row>
    <row r="21" spans="1:7" x14ac:dyDescent="0.2">
      <c r="A21" s="11" t="s">
        <v>122</v>
      </c>
      <c r="B21" s="17">
        <v>5990</v>
      </c>
      <c r="C21" s="17">
        <v>1139</v>
      </c>
      <c r="D21" s="17">
        <v>6562</v>
      </c>
      <c r="E21" s="17">
        <v>7701</v>
      </c>
      <c r="F21" s="17">
        <v>4177</v>
      </c>
      <c r="G21" s="18">
        <f>IF(AND(F65&lt;&gt;46902,4177&lt;&gt;0),IF(100*4177/(F65-46902)&lt;0.005,"*",100*4177/(F65-46902)),0)</f>
        <v>0.1595433020459891</v>
      </c>
    </row>
    <row r="22" spans="1:7" x14ac:dyDescent="0.2">
      <c r="A22" s="11" t="s">
        <v>123</v>
      </c>
      <c r="B22" s="17">
        <v>19010</v>
      </c>
      <c r="C22" s="17">
        <v>3614</v>
      </c>
      <c r="D22" s="17">
        <v>20825</v>
      </c>
      <c r="E22" s="17">
        <v>24439</v>
      </c>
      <c r="F22" s="17">
        <v>12901</v>
      </c>
      <c r="G22" s="18">
        <f>IF(AND(F65&lt;&gt;46902,12901&lt;&gt;0),IF(100*12901/(F65-46902)&lt;0.005,"*",100*12901/(F65-46902)),0)</f>
        <v>0.49276230301539514</v>
      </c>
    </row>
    <row r="23" spans="1:7" x14ac:dyDescent="0.2">
      <c r="A23" s="11" t="s">
        <v>124</v>
      </c>
      <c r="B23" s="17">
        <v>53361</v>
      </c>
      <c r="C23" s="17">
        <v>10145</v>
      </c>
      <c r="D23" s="17">
        <v>58455</v>
      </c>
      <c r="E23" s="17">
        <v>68600</v>
      </c>
      <c r="F23" s="17">
        <v>35642</v>
      </c>
      <c r="G23" s="18">
        <f>IF(AND(F65&lt;&gt;46902,35642&lt;&gt;0),IF(100*35642/(F65-46902)&lt;0.005,"*",100*35642/(F65-46902)),0)</f>
        <v>1.3613699716358976</v>
      </c>
    </row>
    <row r="24" spans="1:7" x14ac:dyDescent="0.2">
      <c r="A24" s="11" t="s">
        <v>125</v>
      </c>
      <c r="B24" s="17">
        <v>55099</v>
      </c>
      <c r="C24" s="17">
        <v>10475</v>
      </c>
      <c r="D24" s="17">
        <v>60359</v>
      </c>
      <c r="E24" s="17">
        <v>70834</v>
      </c>
      <c r="F24" s="17">
        <v>36914</v>
      </c>
      <c r="G24" s="18">
        <f>IF(AND(F65&lt;&gt;46902,36914&lt;&gt;0),IF(100*36914/(F65-46902)&lt;0.005,"*",100*36914/(F65-46902)),0)</f>
        <v>1.4099548603604601</v>
      </c>
    </row>
    <row r="25" spans="1:7" x14ac:dyDescent="0.2">
      <c r="A25" s="11" t="s">
        <v>126</v>
      </c>
      <c r="B25" s="17">
        <v>13160</v>
      </c>
      <c r="C25" s="17">
        <v>2502</v>
      </c>
      <c r="D25" s="17">
        <v>14416</v>
      </c>
      <c r="E25" s="17">
        <v>16918</v>
      </c>
      <c r="F25" s="17">
        <v>8770</v>
      </c>
      <c r="G25" s="18">
        <f>IF(AND(F65&lt;&gt;46902,8770&lt;&gt;0),IF(100*8770/(F65-46902)&lt;0.005,"*",100*8770/(F65-46902)),0)</f>
        <v>0.33497600166227542</v>
      </c>
    </row>
    <row r="26" spans="1:7" x14ac:dyDescent="0.2">
      <c r="A26" s="11" t="s">
        <v>127</v>
      </c>
      <c r="B26" s="17">
        <v>82511</v>
      </c>
      <c r="C26" s="17">
        <v>15687</v>
      </c>
      <c r="D26" s="17">
        <v>90388</v>
      </c>
      <c r="E26" s="17">
        <v>106075</v>
      </c>
      <c r="F26" s="17">
        <v>54587</v>
      </c>
      <c r="G26" s="18">
        <f>IF(AND(F65&lt;&gt;46902,54587&lt;&gt;0),IF(100*54587/(F65-46902)&lt;0.005,"*",100*54587/(F65-46902)),0)</f>
        <v>2.084986887427438</v>
      </c>
    </row>
    <row r="27" spans="1:7" x14ac:dyDescent="0.2">
      <c r="A27" s="11" t="s">
        <v>128</v>
      </c>
      <c r="B27" s="17">
        <v>143539</v>
      </c>
      <c r="C27" s="17">
        <v>27290</v>
      </c>
      <c r="D27" s="17">
        <v>147356</v>
      </c>
      <c r="E27" s="17">
        <v>174646</v>
      </c>
      <c r="F27" s="17">
        <v>95214</v>
      </c>
      <c r="G27" s="18">
        <f>IF(AND(F65&lt;&gt;46902,95214&lt;&gt;0),IF(100*95214/(F65-46902)&lt;0.005,"*",100*95214/(F65-46902)),0)</f>
        <v>3.6367622602362477</v>
      </c>
    </row>
    <row r="28" spans="1:7" x14ac:dyDescent="0.2">
      <c r="A28" s="11" t="s">
        <v>129</v>
      </c>
      <c r="B28" s="17">
        <v>62645</v>
      </c>
      <c r="C28" s="17">
        <v>11910</v>
      </c>
      <c r="D28" s="17">
        <v>68625</v>
      </c>
      <c r="E28" s="17">
        <v>80535</v>
      </c>
      <c r="F28" s="17">
        <v>41792</v>
      </c>
      <c r="G28" s="18">
        <f>IF(AND(F65&lt;&gt;46902,41792&lt;&gt;0),IF(100*41792/(F65-46902)&lt;0.005,"*",100*41792/(F65-46902)),0)</f>
        <v>1.5962733251390895</v>
      </c>
    </row>
    <row r="29" spans="1:7" x14ac:dyDescent="0.2">
      <c r="A29" s="11" t="s">
        <v>130</v>
      </c>
      <c r="B29" s="17">
        <v>44663</v>
      </c>
      <c r="C29" s="17">
        <v>8491</v>
      </c>
      <c r="D29" s="17">
        <v>48927</v>
      </c>
      <c r="E29" s="17">
        <v>57418</v>
      </c>
      <c r="F29" s="17">
        <v>29960</v>
      </c>
      <c r="G29" s="18">
        <f>IF(AND(F65&lt;&gt;46902,29960&lt;&gt;0),IF(100*29960/(F65-46902)&lt;0.005,"*",100*29960/(F65-46902)),0)</f>
        <v>1.1443421903992899</v>
      </c>
    </row>
    <row r="30" spans="1:7" x14ac:dyDescent="0.2">
      <c r="A30" s="11" t="s">
        <v>131</v>
      </c>
      <c r="B30" s="17">
        <v>40011</v>
      </c>
      <c r="C30" s="17">
        <v>7607</v>
      </c>
      <c r="D30" s="17">
        <v>43831</v>
      </c>
      <c r="E30" s="17">
        <v>51438</v>
      </c>
      <c r="F30" s="17">
        <v>26600</v>
      </c>
      <c r="G30" s="18">
        <f>IF(AND(F65&lt;&gt;46902,26600&lt;&gt;0),IF(100*26600/(F65-46902)&lt;0.005,"*",100*26600/(F65-46902)),0)</f>
        <v>1.0160047484853507</v>
      </c>
    </row>
    <row r="31" spans="1:7" x14ac:dyDescent="0.2">
      <c r="A31" s="11" t="s">
        <v>132</v>
      </c>
      <c r="B31" s="17">
        <v>25093</v>
      </c>
      <c r="C31" s="17">
        <v>4771</v>
      </c>
      <c r="D31" s="17">
        <v>27489</v>
      </c>
      <c r="E31" s="17">
        <v>32260</v>
      </c>
      <c r="F31" s="17">
        <v>16988</v>
      </c>
      <c r="G31" s="18">
        <f>IF(AND(F65&lt;&gt;46902,16988&lt;&gt;0),IF(100*16988/(F65-46902)&lt;0.005,"*",100*16988/(F65-46902)),0)</f>
        <v>0.64886799501011805</v>
      </c>
    </row>
    <row r="32" spans="1:7" x14ac:dyDescent="0.2">
      <c r="A32" s="11" t="s">
        <v>133</v>
      </c>
      <c r="B32" s="17">
        <v>5118</v>
      </c>
      <c r="C32" s="17">
        <v>973</v>
      </c>
      <c r="D32" s="17">
        <v>5607</v>
      </c>
      <c r="E32" s="17">
        <v>6580</v>
      </c>
      <c r="F32" s="17">
        <v>3420</v>
      </c>
      <c r="G32" s="18">
        <f>IF(AND(F65&lt;&gt;46902,3420&lt;&gt;0),IF(100*3420/(F65-46902)&lt;0.005,"*",100*3420/(F65-46902)),0)</f>
        <v>0.13062918194811654</v>
      </c>
    </row>
    <row r="33" spans="1:7" x14ac:dyDescent="0.2">
      <c r="A33" s="11" t="s">
        <v>134</v>
      </c>
      <c r="B33" s="17">
        <v>13432</v>
      </c>
      <c r="C33" s="17">
        <v>2554</v>
      </c>
      <c r="D33" s="17">
        <v>14715</v>
      </c>
      <c r="E33" s="17">
        <v>17269</v>
      </c>
      <c r="F33" s="17">
        <v>9228</v>
      </c>
      <c r="G33" s="18">
        <f>IF(AND(F65&lt;&gt;46902,9228&lt;&gt;0),IF(100*9228/(F65-46902)&lt;0.005,"*",100*9228/(F65-46902)),0)</f>
        <v>0.35246961725649689</v>
      </c>
    </row>
    <row r="34" spans="1:7" x14ac:dyDescent="0.2">
      <c r="A34" s="11" t="s">
        <v>135</v>
      </c>
      <c r="B34" s="17">
        <v>14398</v>
      </c>
      <c r="C34" s="17">
        <v>2737</v>
      </c>
      <c r="D34" s="17">
        <v>15773</v>
      </c>
      <c r="E34" s="17">
        <v>18510</v>
      </c>
      <c r="F34" s="17">
        <v>9517</v>
      </c>
      <c r="G34" s="18">
        <f>IF(AND(F65&lt;&gt;46902,9517&lt;&gt;0),IF(100*9517/(F65-46902)&lt;0.005,"*",100*9517/(F65-46902)),0)</f>
        <v>0.36350816508778511</v>
      </c>
    </row>
    <row r="35" spans="1:7" x14ac:dyDescent="0.2">
      <c r="A35" s="11" t="s">
        <v>136</v>
      </c>
      <c r="B35" s="17">
        <v>10849</v>
      </c>
      <c r="C35" s="17">
        <v>2063</v>
      </c>
      <c r="D35" s="17">
        <v>11885</v>
      </c>
      <c r="E35" s="17">
        <v>13948</v>
      </c>
      <c r="F35" s="17">
        <v>7230</v>
      </c>
      <c r="G35" s="18">
        <f>IF(AND(F65&lt;&gt;46902,7230&lt;&gt;0),IF(100*7230/(F65-46902)&lt;0.005,"*",100*7230/(F65-46902)),0)</f>
        <v>0.27615467411838673</v>
      </c>
    </row>
    <row r="36" spans="1:7" x14ac:dyDescent="0.2">
      <c r="A36" s="11" t="s">
        <v>137</v>
      </c>
      <c r="B36" s="17">
        <v>148515</v>
      </c>
      <c r="C36" s="17">
        <v>28236</v>
      </c>
      <c r="D36" s="17">
        <v>152807</v>
      </c>
      <c r="E36" s="17">
        <v>181043</v>
      </c>
      <c r="F36" s="17">
        <v>98878</v>
      </c>
      <c r="G36" s="18">
        <f>IF(AND(F65&lt;&gt;46902,98878&lt;&gt;0),IF(100*98878/(F65-46902)&lt;0.005,"*",100*98878/(F65-46902)),0)</f>
        <v>3.7767111849900195</v>
      </c>
    </row>
    <row r="37" spans="1:7" x14ac:dyDescent="0.2">
      <c r="A37" s="11" t="s">
        <v>138</v>
      </c>
      <c r="B37" s="17">
        <v>11058</v>
      </c>
      <c r="C37" s="17">
        <v>2102</v>
      </c>
      <c r="D37" s="17">
        <v>12114</v>
      </c>
      <c r="E37" s="17">
        <v>14216</v>
      </c>
      <c r="F37" s="17">
        <v>7422</v>
      </c>
      <c r="G37" s="18">
        <f>IF(AND(F65&lt;&gt;46902,7422&lt;&gt;0),IF(100*7422/(F65-46902)&lt;0.005,"*",100*7422/(F65-46902)),0)</f>
        <v>0.28348824222775465</v>
      </c>
    </row>
    <row r="38" spans="1:7" x14ac:dyDescent="0.2">
      <c r="A38" s="11" t="s">
        <v>139</v>
      </c>
      <c r="B38" s="17">
        <v>894873</v>
      </c>
      <c r="C38" s="17">
        <v>170134</v>
      </c>
      <c r="D38" s="17">
        <v>980305</v>
      </c>
      <c r="E38" s="17">
        <v>1150439</v>
      </c>
      <c r="F38" s="17">
        <v>591420</v>
      </c>
      <c r="G38" s="18">
        <f>IF(AND(F65&lt;&gt;46902,591420&lt;&gt;0),IF(100*591420/(F65-46902)&lt;0.005,"*",100*591420/(F65-46902)),0)</f>
        <v>22.589681516887449</v>
      </c>
    </row>
    <row r="39" spans="1:7" x14ac:dyDescent="0.2">
      <c r="A39" s="11" t="s">
        <v>140</v>
      </c>
      <c r="B39" s="17">
        <v>103603</v>
      </c>
      <c r="C39" s="17">
        <v>19697</v>
      </c>
      <c r="D39" s="17">
        <v>113494</v>
      </c>
      <c r="E39" s="17">
        <v>133191</v>
      </c>
      <c r="F39" s="17">
        <v>68829</v>
      </c>
      <c r="G39" s="18">
        <f>IF(AND(F65&lt;&gt;46902,68829&lt;&gt;0),IF(100*68829/(F65-46902)&lt;0.005,"*",100*68829/(F65-46902)),0)</f>
        <v>2.6289695802066997</v>
      </c>
    </row>
    <row r="40" spans="1:7" x14ac:dyDescent="0.2">
      <c r="A40" s="11" t="s">
        <v>141</v>
      </c>
      <c r="B40" s="17">
        <v>2996</v>
      </c>
      <c r="C40" s="17">
        <v>570</v>
      </c>
      <c r="D40" s="17">
        <v>3282</v>
      </c>
      <c r="E40" s="17">
        <v>3852</v>
      </c>
      <c r="F40" s="17">
        <v>2099</v>
      </c>
      <c r="G40" s="18">
        <f>IF(AND(F65&lt;&gt;46902,2099&lt;&gt;0),IF(100*2099/(F65-46902)&lt;0.005,"*",100*2099/(F65-46902)),0)</f>
        <v>8.017270552897561E-2</v>
      </c>
    </row>
    <row r="41" spans="1:7" x14ac:dyDescent="0.2">
      <c r="A41" s="11" t="s">
        <v>142</v>
      </c>
      <c r="B41" s="17">
        <v>169618</v>
      </c>
      <c r="C41" s="17">
        <v>32248</v>
      </c>
      <c r="D41" s="17">
        <v>185812</v>
      </c>
      <c r="E41" s="17">
        <v>218060</v>
      </c>
      <c r="F41" s="17">
        <v>112249</v>
      </c>
      <c r="G41" s="18">
        <f>IF(AND(F65&lt;&gt;46902,112249&lt;&gt;0),IF(100*112249/(F65-46902)&lt;0.005,"*",100*112249/(F65-46902)),0)</f>
        <v>4.2874254516064711</v>
      </c>
    </row>
    <row r="42" spans="1:7" x14ac:dyDescent="0.2">
      <c r="A42" s="11" t="s">
        <v>143</v>
      </c>
      <c r="B42" s="17">
        <v>35330</v>
      </c>
      <c r="C42" s="17">
        <v>6717</v>
      </c>
      <c r="D42" s="17">
        <v>38703</v>
      </c>
      <c r="E42" s="17">
        <v>45420</v>
      </c>
      <c r="F42" s="17">
        <v>23677</v>
      </c>
      <c r="G42" s="18">
        <f>IF(AND(F65&lt;&gt;46902,23677&lt;&gt;0),IF(100*23677/(F65-46902)&lt;0.005,"*",100*23677/(F65-46902)),0)</f>
        <v>0.90435881315367106</v>
      </c>
    </row>
    <row r="43" spans="1:7" x14ac:dyDescent="0.2">
      <c r="A43" s="11" t="s">
        <v>144</v>
      </c>
      <c r="B43" s="17">
        <v>18627</v>
      </c>
      <c r="C43" s="17">
        <v>3541</v>
      </c>
      <c r="D43" s="17">
        <v>20405</v>
      </c>
      <c r="E43" s="17">
        <v>23946</v>
      </c>
      <c r="F43" s="17">
        <v>12373</v>
      </c>
      <c r="G43" s="18">
        <f>IF(AND(F65&lt;&gt;46902,12373&lt;&gt;0),IF(100*12373/(F65-46902)&lt;0.005,"*",100*12373/(F65-46902)),0)</f>
        <v>0.47259499071463329</v>
      </c>
    </row>
    <row r="44" spans="1:7" x14ac:dyDescent="0.2">
      <c r="A44" s="11" t="s">
        <v>145</v>
      </c>
      <c r="B44" s="17">
        <v>279236</v>
      </c>
      <c r="C44" s="17">
        <v>53089</v>
      </c>
      <c r="D44" s="17">
        <v>296008</v>
      </c>
      <c r="E44" s="17">
        <v>349097</v>
      </c>
      <c r="F44" s="17">
        <v>184660</v>
      </c>
      <c r="G44" s="18">
        <f>IF(AND(F65&lt;&gt;46902,184660&lt;&gt;0),IF(100*184660/(F65-46902)&lt;0.005,"*",100*184660/(F65-46902)),0)</f>
        <v>7.053211911853567</v>
      </c>
    </row>
    <row r="45" spans="1:7" x14ac:dyDescent="0.2">
      <c r="A45" s="11" t="s">
        <v>146</v>
      </c>
      <c r="B45" s="17">
        <v>32610</v>
      </c>
      <c r="C45" s="17">
        <v>6200</v>
      </c>
      <c r="D45" s="17">
        <v>35723</v>
      </c>
      <c r="E45" s="17">
        <v>41923</v>
      </c>
      <c r="F45" s="17">
        <v>21625</v>
      </c>
      <c r="G45" s="18">
        <f>IF(AND(F65&lt;&gt;46902,21625&lt;&gt;0),IF(100*21625/(F65-46902)&lt;0.005,"*",100*21625/(F65-46902)),0)</f>
        <v>0.82598130398480119</v>
      </c>
    </row>
    <row r="46" spans="1:7" x14ac:dyDescent="0.2">
      <c r="A46" s="11" t="s">
        <v>147</v>
      </c>
      <c r="B46" s="17">
        <v>46670</v>
      </c>
      <c r="C46" s="17">
        <v>8873</v>
      </c>
      <c r="D46" s="17">
        <v>51126</v>
      </c>
      <c r="E46" s="17">
        <v>59999</v>
      </c>
      <c r="F46" s="17">
        <v>30959</v>
      </c>
      <c r="G46" s="18">
        <f>IF(AND(F65&lt;&gt;46902,30959&lt;&gt;0),IF(100*30959/(F65-46902)&lt;0.005,"*",100*30959/(F65-46902)),0)</f>
        <v>1.182499661968345</v>
      </c>
    </row>
    <row r="47" spans="1:7" x14ac:dyDescent="0.2">
      <c r="A47" s="11" t="s">
        <v>148</v>
      </c>
      <c r="B47" s="17">
        <v>2638</v>
      </c>
      <c r="C47" s="17">
        <v>502</v>
      </c>
      <c r="D47" s="17">
        <v>2890</v>
      </c>
      <c r="E47" s="17">
        <v>3392</v>
      </c>
      <c r="F47" s="17">
        <v>1859</v>
      </c>
      <c r="G47" s="18">
        <f>IF(AND(F65&lt;&gt;46902,1859&lt;&gt;0),IF(100*1859/(F65-46902)&lt;0.005,"*",100*1859/(F65-46902)),0)</f>
        <v>7.1005745392265687E-2</v>
      </c>
    </row>
    <row r="48" spans="1:7" x14ac:dyDescent="0.2">
      <c r="A48" s="11" t="s">
        <v>149</v>
      </c>
      <c r="B48" s="17">
        <v>98201</v>
      </c>
      <c r="C48" s="17">
        <v>18670</v>
      </c>
      <c r="D48" s="17">
        <v>97690</v>
      </c>
      <c r="E48" s="17">
        <v>116360</v>
      </c>
      <c r="F48" s="17">
        <v>65128</v>
      </c>
      <c r="G48" s="18">
        <f>IF(AND(F65&lt;&gt;46902,65128&lt;&gt;0),IF(100*65128/(F65-46902)&lt;0.005,"*",100*65128/(F65-46902)),0)</f>
        <v>2.4876074157651851</v>
      </c>
    </row>
    <row r="49" spans="1:7" x14ac:dyDescent="0.2">
      <c r="A49" s="11" t="s">
        <v>150</v>
      </c>
      <c r="B49" s="17">
        <v>145820</v>
      </c>
      <c r="C49" s="17">
        <v>27723</v>
      </c>
      <c r="D49" s="17">
        <v>159741</v>
      </c>
      <c r="E49" s="17">
        <v>187464</v>
      </c>
      <c r="F49" s="17">
        <v>97627</v>
      </c>
      <c r="G49" s="18">
        <f>IF(AND(F65&lt;&gt;46902,97627&lt;&gt;0),IF(100*97627/(F65-46902)&lt;0.005,"*",100*97627/(F65-46902)),0)</f>
        <v>3.728928405277419</v>
      </c>
    </row>
    <row r="50" spans="1:7" x14ac:dyDescent="0.2">
      <c r="A50" s="11" t="s">
        <v>151</v>
      </c>
      <c r="B50" s="17">
        <v>3407</v>
      </c>
      <c r="C50" s="17">
        <v>648</v>
      </c>
      <c r="D50" s="17">
        <v>3732</v>
      </c>
      <c r="E50" s="17">
        <v>4380</v>
      </c>
      <c r="F50" s="17">
        <v>2313</v>
      </c>
      <c r="G50" s="18">
        <f>IF(AND(F65&lt;&gt;46902,2313&lt;&gt;0),IF(100*2313/(F65-46902)&lt;0.005,"*",100*2313/(F65-46902)),0)</f>
        <v>8.8346578317541974E-2</v>
      </c>
    </row>
    <row r="51" spans="1:7" x14ac:dyDescent="0.2">
      <c r="A51" s="11" t="s">
        <v>152</v>
      </c>
      <c r="B51" s="17">
        <v>3156</v>
      </c>
      <c r="C51" s="17">
        <v>600</v>
      </c>
      <c r="D51" s="17">
        <v>3457</v>
      </c>
      <c r="E51" s="17">
        <v>4057</v>
      </c>
      <c r="F51" s="17">
        <v>2114</v>
      </c>
      <c r="G51" s="18">
        <f>IF(AND(F65&lt;&gt;46902,2114&lt;&gt;0),IF(100*2114/(F65-46902)&lt;0.005,"*",100*2114/(F65-46902)),0)</f>
        <v>8.074564053751998E-2</v>
      </c>
    </row>
    <row r="52" spans="1:7" x14ac:dyDescent="0.2">
      <c r="A52" s="11" t="s">
        <v>153</v>
      </c>
      <c r="B52" s="17">
        <v>64770</v>
      </c>
      <c r="C52" s="17">
        <v>12315</v>
      </c>
      <c r="D52" s="17">
        <v>70953</v>
      </c>
      <c r="E52" s="17">
        <v>83268</v>
      </c>
      <c r="F52" s="17">
        <v>42903</v>
      </c>
      <c r="G52" s="18">
        <f>IF(AND(F65&lt;&gt;46902,42903&lt;&gt;0),IF(100*42903/(F65-46902)&lt;0.005,"*",100*42903/(F65-46902)),0)</f>
        <v>1.6387087114386092</v>
      </c>
    </row>
    <row r="53" spans="1:7" x14ac:dyDescent="0.2">
      <c r="A53" s="11" t="s">
        <v>154</v>
      </c>
      <c r="B53" s="17">
        <v>47462</v>
      </c>
      <c r="C53" s="17">
        <v>9023</v>
      </c>
      <c r="D53" s="17">
        <v>51993</v>
      </c>
      <c r="E53" s="17">
        <v>61016</v>
      </c>
      <c r="F53" s="17">
        <v>31455</v>
      </c>
      <c r="G53" s="18">
        <f>IF(AND(F65&lt;&gt;46902,31455&lt;&gt;0),IF(100*31455/(F65-46902)&lt;0.005,"*",100*31455/(F65-46902)),0)</f>
        <v>1.2014447129175454</v>
      </c>
    </row>
    <row r="54" spans="1:7" x14ac:dyDescent="0.2">
      <c r="A54" s="11" t="s">
        <v>155</v>
      </c>
      <c r="B54" s="17">
        <v>16121</v>
      </c>
      <c r="C54" s="17">
        <v>3065</v>
      </c>
      <c r="D54" s="17">
        <v>17660</v>
      </c>
      <c r="E54" s="17">
        <v>20725</v>
      </c>
      <c r="F54" s="17">
        <v>10755</v>
      </c>
      <c r="G54" s="18">
        <f>IF(AND(F65&lt;&gt;46902,10755&lt;&gt;0),IF(100*10755/(F65-46902)&lt;0.005,"*",100*10755/(F65-46902)),0)</f>
        <v>0.41079440112631382</v>
      </c>
    </row>
    <row r="55" spans="1:7" x14ac:dyDescent="0.2">
      <c r="A55" s="11" t="s">
        <v>156</v>
      </c>
      <c r="B55" s="17">
        <v>16830</v>
      </c>
      <c r="C55" s="17">
        <v>3200</v>
      </c>
      <c r="D55" s="17">
        <v>18436</v>
      </c>
      <c r="E55" s="17">
        <v>21636</v>
      </c>
      <c r="F55" s="17">
        <v>11505</v>
      </c>
      <c r="G55" s="18">
        <f>IF(AND(F65&lt;&gt;46902,11505&lt;&gt;0),IF(100*11505/(F65-46902)&lt;0.005,"*",100*11505/(F65-46902)),0)</f>
        <v>0.43944115155353236</v>
      </c>
    </row>
    <row r="56" spans="1:7" x14ac:dyDescent="0.2">
      <c r="A56" s="11" t="s">
        <v>157</v>
      </c>
      <c r="B56" s="17">
        <v>1728</v>
      </c>
      <c r="C56" s="17">
        <v>329</v>
      </c>
      <c r="D56" s="17">
        <v>1893</v>
      </c>
      <c r="E56" s="17">
        <v>2222</v>
      </c>
      <c r="F56" s="17">
        <v>1168</v>
      </c>
      <c r="G56" s="18">
        <f>IF(AND(F65&lt;&gt;46902,1168&lt;&gt;0),IF(100*1168/(F65-46902)&lt;0.005,"*",100*1168/(F65-46902)),0)</f>
        <v>4.4612539331988339E-2</v>
      </c>
    </row>
    <row r="57" spans="1:7" x14ac:dyDescent="0.2">
      <c r="A57" s="11" t="s">
        <v>158</v>
      </c>
      <c r="B57" s="17">
        <v>0</v>
      </c>
      <c r="C57" s="17">
        <v>0</v>
      </c>
      <c r="D57" s="17">
        <v>0</v>
      </c>
      <c r="E57" s="17">
        <v>0</v>
      </c>
      <c r="F57" s="17">
        <v>0</v>
      </c>
      <c r="G57" s="18">
        <f>IF(AND(F65&lt;&gt;46902,0&lt;&gt;0),IF(100*0/(F65-46902)&lt;0.005,"*",100*0/(F65-46902)),0)</f>
        <v>0</v>
      </c>
    </row>
    <row r="58" spans="1:7" x14ac:dyDescent="0.2">
      <c r="A58" s="11" t="s">
        <v>159</v>
      </c>
      <c r="B58" s="17">
        <v>3994</v>
      </c>
      <c r="C58" s="17">
        <v>759</v>
      </c>
      <c r="D58" s="17">
        <v>4375</v>
      </c>
      <c r="E58" s="17">
        <v>5134</v>
      </c>
      <c r="F58" s="17">
        <v>2644</v>
      </c>
      <c r="G58" s="18">
        <f>IF(AND(F65&lt;&gt;46902,2644&lt;&gt;0),IF(100*2644/(F65-46902)&lt;0.005,"*",100*2644/(F65-46902)),0)</f>
        <v>0.10098934417275442</v>
      </c>
    </row>
    <row r="59" spans="1:7" x14ac:dyDescent="0.2">
      <c r="A59" s="11" t="s">
        <v>160</v>
      </c>
      <c r="B59" s="17">
        <v>0</v>
      </c>
      <c r="C59" s="17">
        <v>0</v>
      </c>
      <c r="D59" s="17">
        <v>0</v>
      </c>
      <c r="E59" s="17">
        <v>0</v>
      </c>
      <c r="F59" s="17">
        <v>3</v>
      </c>
      <c r="G59" s="18" t="str">
        <f>IF(AND(F65&lt;&gt;46902,3&lt;&gt;0),IF(100*3/(F65-46902)&lt;0.005,"*",100*3/(F65-46902)),0)</f>
        <v>*</v>
      </c>
    </row>
    <row r="60" spans="1:7" x14ac:dyDescent="0.2">
      <c r="A60" s="11" t="s">
        <v>161</v>
      </c>
      <c r="B60" s="17">
        <v>213480</v>
      </c>
      <c r="C60" s="17">
        <v>40587</v>
      </c>
      <c r="D60" s="17">
        <v>223270</v>
      </c>
      <c r="E60" s="17">
        <v>263857</v>
      </c>
      <c r="F60" s="17">
        <v>141213</v>
      </c>
      <c r="G60" s="18">
        <f>IF(AND(F65&lt;&gt;46902,141213&lt;&gt;0),IF(100*141213/(F65-46902)&lt;0.005,"*",100*141213/(F65-46902)),0)</f>
        <v>5.3937247574384148</v>
      </c>
    </row>
    <row r="61" spans="1:7" x14ac:dyDescent="0.2">
      <c r="A61" s="11" t="s">
        <v>162</v>
      </c>
      <c r="B61" s="17">
        <v>0</v>
      </c>
      <c r="C61" s="17">
        <v>0</v>
      </c>
      <c r="D61" s="17">
        <v>0</v>
      </c>
      <c r="E61" s="17">
        <v>0</v>
      </c>
      <c r="F61" s="17">
        <v>0</v>
      </c>
      <c r="G61" s="18">
        <f>IF(AND(F65&lt;&gt;46902,0&lt;&gt;0),IF(100*0/(F65-46902)&lt;0.005,"*",100*0/(F65-46902)),0)</f>
        <v>0</v>
      </c>
    </row>
    <row r="62" spans="1:7" x14ac:dyDescent="0.2">
      <c r="A62" s="11" t="s">
        <v>163</v>
      </c>
      <c r="B62" s="17">
        <v>19259</v>
      </c>
      <c r="C62" s="17">
        <v>3662</v>
      </c>
      <c r="D62" s="17">
        <v>21098</v>
      </c>
      <c r="E62" s="17">
        <v>24760</v>
      </c>
      <c r="F62" s="17">
        <v>12723</v>
      </c>
      <c r="G62" s="18">
        <f>IF(AND(F65&lt;&gt;46902,12723&lt;&gt;0),IF(100*12723/(F65-46902)&lt;0.005,"*",100*12723/(F65-46902)),0)</f>
        <v>0.48596347424733527</v>
      </c>
    </row>
    <row r="63" spans="1:7" x14ac:dyDescent="0.2">
      <c r="A63" s="11" t="s">
        <v>164</v>
      </c>
      <c r="B63" s="17">
        <v>0</v>
      </c>
      <c r="C63" s="17">
        <v>0</v>
      </c>
      <c r="D63" s="17">
        <v>0</v>
      </c>
      <c r="E63" s="17">
        <v>0</v>
      </c>
      <c r="F63" s="17">
        <v>0</v>
      </c>
      <c r="G63" s="18">
        <f>IF(AND(F65&lt;&gt;46902,0&lt;&gt;0),IF(100*0/(F65-46902)&lt;0.005,"*",100*0/(F65-46902)),0)</f>
        <v>0</v>
      </c>
    </row>
    <row r="64" spans="1:7" x14ac:dyDescent="0.2">
      <c r="A64" s="11" t="s">
        <v>165</v>
      </c>
      <c r="B64" s="17">
        <v>0</v>
      </c>
      <c r="C64" s="17">
        <v>3035</v>
      </c>
      <c r="D64" s="17">
        <v>0</v>
      </c>
      <c r="E64" s="17">
        <v>3035</v>
      </c>
      <c r="F64" s="17">
        <v>46902</v>
      </c>
      <c r="G64" s="18">
        <v>0</v>
      </c>
    </row>
    <row r="65" spans="1:7" ht="15" customHeight="1" x14ac:dyDescent="0.2">
      <c r="A65" s="19" t="s">
        <v>106</v>
      </c>
      <c r="B65" s="20">
        <f>121755+8294+19463+31782+104977+26274+63342+11035+50104+116428+105517+23420+1207+249136+42276+5990+19010+53361+55099+13160+82511+143539+62645+44663+40011+25093+5118+13432+14398+10849+148515+11058+894873+103603+2996+169618+35330+18627+279236+32610+46670+2638+98201+145820+3407+3156+64770+47462+16121+16830+1728+0+3994+0+213480+0+19259+0+0+0</f>
        <v>3943891</v>
      </c>
      <c r="C65" s="20">
        <f>23148+1577+3700+6042+19958+4995+12043+2098+9526+22135+20061+4453+229+47366+8038+1139+3614+10145+10475+2502+15687+27290+11910+8491+7607+4771+973+2554+2737+2063+28236+2102+170134+19697+570+32248+6717+3541+53089+6200+8873+502+18670+27723+648+600+12315+9023+3065+3200+329+0+759+0+40587+0+3662+0+3035+0</f>
        <v>752852</v>
      </c>
      <c r="D65" s="20">
        <f>133379+9085+21322+34816+114999+28782+69389+12088+54887+115680+114602+25656+1322+261057+46312+6562+20825+58455+60359+14416+90388+147356+68625+48927+43831+27489+5607+14715+15773+11885+152807+12114+980305+113494+3282+185812+38703+20405+296008+35723+51126+2890+97690+159741+3732+3457+70953+51993+17660+18436+1893+0+4375+0+223270+0+21098+0+0+0</f>
        <v>4245556</v>
      </c>
      <c r="E65" s="20">
        <f>SUM(C65:D65)</f>
        <v>4998408</v>
      </c>
      <c r="F65" s="20">
        <f>80881+5483+12932+21431+70108+17546+41994+7306+33089+77203+70288+15484+834+164863+28115+4177+12901+35642+36914+8770+54587+95214+41792+29960+26600+16988+3420+9228+9517+7230+98878+7422+591420+68829+2099+112249+23677+12373+184660+21625+30959+1859+65128+97627+2313+2114+42903+31455+10755+11505+1168+0+2644+3+141213+0+12723+0+46902+0</f>
        <v>2665000</v>
      </c>
      <c r="G65" s="21" t="s">
        <v>166</v>
      </c>
    </row>
    <row r="66" spans="1:7" ht="15" customHeight="1" x14ac:dyDescent="0.2">
      <c r="A66" s="72" t="s">
        <v>167</v>
      </c>
      <c r="B66" s="72"/>
      <c r="C66" s="72"/>
      <c r="D66" s="72"/>
      <c r="E66" s="72"/>
      <c r="F66" s="72"/>
      <c r="G66" s="72"/>
    </row>
    <row r="67" spans="1:7" ht="15" customHeight="1" x14ac:dyDescent="0.2">
      <c r="A67" s="65" t="s">
        <v>168</v>
      </c>
      <c r="B67" s="65"/>
      <c r="C67" s="65"/>
      <c r="D67" s="65"/>
      <c r="E67" s="65"/>
      <c r="F67" s="65"/>
      <c r="G67" s="65"/>
    </row>
  </sheetData>
  <mergeCells count="6">
    <mergeCell ref="A67:G67"/>
    <mergeCell ref="A4:A5"/>
    <mergeCell ref="B4:B5"/>
    <mergeCell ref="F4:F5"/>
    <mergeCell ref="G4:G5"/>
    <mergeCell ref="A66:G66"/>
  </mergeCells>
  <pageMargins left="0.7" right="0.7" top="0.75" bottom="0.75" header="0.3" footer="0.3"/>
  <pageSetup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zoomScaleNormal="100" workbookViewId="0"/>
  </sheetViews>
  <sheetFormatPr defaultRowHeight="12.75" x14ac:dyDescent="0.2"/>
  <cols>
    <col min="1" max="1" width="76.140625" customWidth="1"/>
    <col min="2" max="7" width="11.7109375" customWidth="1"/>
  </cols>
  <sheetData>
    <row r="1" spans="1:7" x14ac:dyDescent="0.2">
      <c r="A1" s="13" t="s">
        <v>510</v>
      </c>
      <c r="B1" s="14"/>
      <c r="C1" s="14"/>
      <c r="D1" s="14"/>
      <c r="E1" s="14"/>
      <c r="F1" s="14"/>
      <c r="G1" s="14"/>
    </row>
    <row r="2" spans="1:7" x14ac:dyDescent="0.2">
      <c r="A2" s="14" t="s">
        <v>509</v>
      </c>
      <c r="B2" s="14"/>
      <c r="C2" s="14"/>
      <c r="D2" s="14"/>
      <c r="E2" s="14"/>
      <c r="F2" s="14"/>
      <c r="G2" s="14"/>
    </row>
    <row r="3" spans="1:7" x14ac:dyDescent="0.2">
      <c r="A3" s="55" t="s">
        <v>508</v>
      </c>
      <c r="B3" s="55" t="s">
        <v>507</v>
      </c>
      <c r="C3" s="16" t="s">
        <v>101</v>
      </c>
      <c r="D3" s="16"/>
      <c r="E3" s="16"/>
      <c r="F3" s="55" t="s">
        <v>102</v>
      </c>
    </row>
    <row r="4" spans="1:7" ht="25.5" customHeight="1" x14ac:dyDescent="0.2">
      <c r="A4" s="56"/>
      <c r="B4" s="56"/>
      <c r="C4" s="32" t="s">
        <v>104</v>
      </c>
      <c r="D4" s="32" t="s">
        <v>506</v>
      </c>
      <c r="E4" s="32" t="s">
        <v>106</v>
      </c>
      <c r="F4" s="56"/>
    </row>
    <row r="5" spans="1:7" x14ac:dyDescent="0.2">
      <c r="A5" s="12" t="s">
        <v>95</v>
      </c>
      <c r="B5" s="30"/>
      <c r="C5" s="30"/>
      <c r="D5" s="30"/>
      <c r="E5" s="30"/>
      <c r="F5" s="30"/>
      <c r="G5" s="12"/>
    </row>
    <row r="6" spans="1:7" x14ac:dyDescent="0.2">
      <c r="A6" s="31" t="s">
        <v>505</v>
      </c>
      <c r="B6" s="30">
        <f>(78169+13002+94310+53962+513900+48526+31880+14283+11349+244080+189245+11068+18266+138629+78949+28155+31942+91614+86009+12658+67418+62826+112152+53066+64500+76689+9643+18915+40705+5246+95466+43694+232307+138821+5524+126494+60387+38465+117436+10282+78041+7596+114075+560671+22788+6236+90025+55476+42667+52031+3975+0+3044+0+28231+0+1015+0+149599+0)/1000</f>
        <v>4385.5020000000004</v>
      </c>
      <c r="C6" s="30">
        <f>(0+0+0+0+0+0+0+0+0+0+0+0+0+0+0+0+0+0+0+0+0+0+0+0+0+0+0+0+0+0+0+0+0+0+0+0+0+0+0+0+0+0+0+0+0+0+0+0+0+0+0+0+0+0+0+0+0+0+0+0)/1000</f>
        <v>0</v>
      </c>
      <c r="D6" s="30">
        <f>(88384+14701+106634+61013+581052+54867+36046+16149+12832+275974+213974+12514+20653+156744+89265+31834+36116+103585+97248+14312+76228+71036+126807+60000+72928+86710+10903+21387+46024+5932+107941+49404+262663+156961+6246+143023+68278+43491+132782+11626+88239+8589+128981+633935+25766+7051+101789+62725+48242+58830+4494+0+3442+0+31920+0+1148+0+0+0)/1000</f>
        <v>4789.4179999999997</v>
      </c>
      <c r="E6" s="30">
        <f>SUM(C6:D6)</f>
        <v>4789.4179999999997</v>
      </c>
      <c r="F6" s="30">
        <f>(93557+15562+112876+64585+615064+58079+38156+17095+13583+292129+226499+13247+21862+165919+94491+33697+38230+109649+102940+15150+80690+75194+134230+63512+77197+91786+11541+22639+48718+6279+114259+52295+278038+166149+6611+151395+72275+46037+140554+12306+93404+9091+136531+671043+27274+7464+107747+66397+51066+62274+4758+0+3643+0+33788+0+1215+0+0+0)/1000</f>
        <v>5069.7700000000004</v>
      </c>
    </row>
    <row r="7" spans="1:7" x14ac:dyDescent="0.2">
      <c r="A7" s="31" t="s">
        <v>504</v>
      </c>
      <c r="B7" s="30">
        <f>(212288+37764+280631+135798+1491133+133459+101996+36932+28339+770725+520709+44355+51431+460372+259469+112839+107307+227724+245747+34159+170431+195197+302154+169678+173633+210388+28106+74008+100843+22101+259669+101490+708843+387631+21036+372934+169155+114981+386089+31243+204310+28823+286130+1436549+100773+15716+248637+199848+80382+169244+15076+0+8406+0+105944+0+4591+0+105305+0)/1000</f>
        <v>12302.521000000001</v>
      </c>
      <c r="C7" s="30">
        <f>(13254+2358+17521+8478+93096+8332+6368+2306+1769+48118+32509+2769+3211+28742+16199+7045+6699+14217+15343+2133+10640+12187+18864+10593+10840+13135+1755+4621+6296+1380+16212+6336+44255+24201+1313+23283+10561+7179+24105+1951+12756+1799+17864+89688+6292+981+15523+12477+5018+10566+941+0+525+0+6614+0+287+0+0+0)/1000</f>
        <v>761.505</v>
      </c>
      <c r="D7" s="30">
        <f>(211556+37634+279664+135330+1485993+132999+101644+36805+28241+768068+518914+44202+51254+458785+258575+112450+106937+226939+244900+34041+169844+194524+301113+169093+173035+209663+28009+73753+100495+22025+258774+101140+706400+386295+20963+371649+168572+114585+384758+31135+203606+28724+285144+1431597+100426+15662+247780+199159+80105+168661+15024+0+8377+0+105579+0+4575+0+0+0)/1000</f>
        <v>12155.174999999999</v>
      </c>
      <c r="E7" s="30">
        <f>SUM(C7:D7)</f>
        <v>12916.679999999998</v>
      </c>
      <c r="F7" s="30">
        <f>(228945+40727+302650+146453+1608131+143930+109999+39830+30563+831198+561565+47835+55466+496494+279828+121693+115727+245592+265029+36839+183803+210513+325862+182991+187257+226896+30311+79815+108755+23835+280043+109453+764460+418045+22687+402195+182427+124003+416382+33694+220341+31085+308580+1549264+108680+16949+268146+215529+86689+182523+16259+0+9066+0+114257+0+4951+0+0+0)/1000</f>
        <v>13154.24</v>
      </c>
    </row>
    <row r="8" spans="1:7" x14ac:dyDescent="0.2">
      <c r="A8" s="31" t="s">
        <v>503</v>
      </c>
      <c r="B8" s="30">
        <f>(110340+23540+130542+69987+1123256+67957+42284+15814+14135+367569+217098+30056+30067+226365+111948+45051+41363+97835+121829+18392+118171+82899+193840+98825+82843+86179+16457+34497+51922+10181+148407+39198+519757+196478+11032+161363+63391+73977+200394+20365+98786+17698+126770+544261+46131+14035+110962+135370+34515+88227+8187+7438+10374+4843+226508+0+6878+65643+3065+0)/1000</f>
        <v>6665.2950000000001</v>
      </c>
      <c r="C8" s="30">
        <f>(19695+4202+23301+12492+200493+12130+7547+2823+2523+65608+38750+5365+5367+40404+19982+8041+7383+17463+21746+3283+21093+14797+34599+17640+14787+15382+2937+6157+9268+1817+26490+6997+92773+35070+1969+28802+11315+13204+35769+3635+17633+3159+22628+97147+8234+2505+19806+24163+6161+15748+1461+1328+1852+864+40430+0+1228+11717+0+0)/1000</f>
        <v>1189.163</v>
      </c>
      <c r="D8" s="30">
        <f>(89979+19196+106453+57072+915980+55417+34481+12896+11527+299741+177037+24510+24519+184593+91290+36738+33730+79781+99348+14998+96365+67601+158070+80589+67556+70276+13420+28131+42341+8302+121021+31965+423845+160222+8996+131586+51693+60326+163415+16607+80557+14432+103377+443828+37618+11445+90486+110390+28146+71946+6676+6065+8460+3949+184710+0+5609+53530+0+0)/1000</f>
        <v>5432.8370000000004</v>
      </c>
      <c r="E8" s="30">
        <f>SUM(C8:D8)</f>
        <v>6622</v>
      </c>
      <c r="F8" s="30">
        <f>(101409+21635+119976+64322+1032342+62457+38862+14534+12991+337819+199527+27623+27633+208044+102887+41405+38015+89916+111968+16903+108606+76189+178151+90826+76138+79204+15125+31705+47720+9357+136395+36025+477689+180575+10139+148303+58260+67989+184175+18717+90790+16266+116510+500210+42397+12899+101981+124413+31721+81086+7524+6836+9534+4451+208175+0+6321+60330+0+0)/1000</f>
        <v>6123</v>
      </c>
    </row>
    <row r="9" spans="1:7" x14ac:dyDescent="0.2">
      <c r="A9" s="31" t="s">
        <v>502</v>
      </c>
      <c r="B9" s="30">
        <f>(53471+9359+49935+56151+444875+26285+17833+17187+9999+254988+116416+7032+7766+145355+59147+27563+32494+39658+97851+9966+55671+66083+69597+65355+46066+51516+11013+31787+12651+4778+79788+32722+240347+94741+10369+90350+59490+35075+118096+9770+35607+8496+65618+377024+28090+6630+48767+47725+16971+36868+4732+0+416+0+24943+0+1480+0+275089+0)/1000</f>
        <v>3647.0520000000001</v>
      </c>
      <c r="C9" s="30">
        <f>(0+0+0+0+0+0+0+0+0+0+0+0+0+0+0+0+0+0+0+0+0+0+0+0+0+0+0+0+0+0+0+0+0+0+0+0+0+0+0+0+0+0+0+0+0+0+0+0+0+0+0+0+0+0+0+0+0+0+0+0)/1000</f>
        <v>0</v>
      </c>
      <c r="D9" s="30">
        <f>(57688+10097+53873+60580+479963+28358+19240+18543+10788+275099+125598+7587+8379+156819+63812+29737+35057+42786+105569+10752+60062+71295+75086+70510+49699+55579+11882+34294+13649+5155+86081+35303+259304+102213+11187+97476+64182+37841+127410+10541+38415+9166+70793+406760+30306+7153+52613+51489+18310+39776+5105+0+449+0+26910+0+1597+0+0+0)/1000</f>
        <v>3637.9160000000002</v>
      </c>
      <c r="E9" s="30">
        <f>SUM(C9:D9)</f>
        <v>3637.9160000000002</v>
      </c>
      <c r="F9" s="30">
        <f>(62374+10917+58249+65500+518946+30661+20802+20049+11664+297443+135799+8203+9059+169557+68995+32152+37904+46261+114143+11625+64940+77086+81185+76237+53736+60093+12847+37080+14757+5574+93073+38170+280365+110515+12095+105393+69395+40915+137759+11397+41536+9911+76543+439798+32767+7734+56887+55671+19797+43007+5520+0+485+0+29096+0+1726+0+0+0)/1000</f>
        <v>3933.393</v>
      </c>
    </row>
    <row r="10" spans="1:7" ht="25.5" x14ac:dyDescent="0.2">
      <c r="A10" s="31" t="s">
        <v>501</v>
      </c>
      <c r="B10" s="30">
        <f>(50031+10336+68860+29783+961583+46988+53206+12757+23137+84647+95631+22336+9254+112759+56902+22216+21775+60743+62912+16006+70425+64954+143834+68524+30526+48582+10605+17782+26245+9831+158500+27746+360045+119611+10444+109270+49333+88099+193615+9789+28531+8577+74242+196298+16358+8986+124036+110682+19809+70064+6438+0+1665+0+0+0+32+0+539503+0)/1000</f>
        <v>4644.8429999999998</v>
      </c>
      <c r="C10" s="30">
        <f>(695+143+956+413+13350+652+739+177+321+1175+1328+310+128+1565+790+308+302+843+873+222+978+902+1997+951+424+674+147+247+364+136+2201+385+4999+1661+145+1517+685+1223+2688+136+396+119+1031+2725+227+125+1722+1537+275+973+89+0+23+0+0+0+0+0+0+0)/1000</f>
        <v>56.991999999999997</v>
      </c>
      <c r="D10" s="30">
        <f>(64884+13405+89303+38625+1247056+60938+69002+16544+30006+109777+124022+28967+12001+146235+73795+28811+28240+78776+81589+20758+91333+84237+186535+88867+39588+63005+13753+23061+34037+12750+205555+35983+466934+155121+13545+141710+63979+114254+251095+12695+37001+11123+96283+254574+21214+11654+160860+143541+25690+90864+8349+0+2159+0+0+0+42+0+0+0)/1000</f>
        <v>5324.125</v>
      </c>
      <c r="E10" s="30">
        <f>SUM(C10:D10)</f>
        <v>5381.1170000000002</v>
      </c>
      <c r="F10" s="30">
        <f>(61459+12697+84589+36586+1181224+57721+65359+15671+28422+103982+117475+27438+11368+138515+69899+27290+26749+74618+77282+19662+86511+79791+176688+84176+37499+59679+13027+21844+32240+12077+194704+34084+442285+146932+12830+134229+60601+108222+237840+12025+35048+10536+91200+241136+20094+11039+152368+135964+24334+86068+7909+0+2045+0+0+0+39+0+0+0)/1000</f>
        <v>5043.07</v>
      </c>
    </row>
    <row r="11" spans="1:7" x14ac:dyDescent="0.2">
      <c r="A11" s="12" t="s">
        <v>175</v>
      </c>
      <c r="B11" s="30"/>
      <c r="C11" s="30"/>
      <c r="D11" s="30"/>
      <c r="E11" s="30"/>
      <c r="F11" s="30"/>
      <c r="G11" s="12"/>
    </row>
    <row r="12" spans="1:7" x14ac:dyDescent="0.2">
      <c r="A12" s="31" t="s">
        <v>500</v>
      </c>
      <c r="B12" s="30">
        <f>(249622+42679+347779+162430+1824443+151549+129075+50634+47177+852320+537331+53452+58319+675047+264297+96944+107349+230230+314807+53749+229558+243162+503276+162901+199342+250521+47679+74826+129758+43015+363036+119120+1201705+448755+36835+554604+168312+151710+618405+52978+242153+46747+305247+1415074+86809+35185+257972+227571+96100+208137+35432+18857+20432+11398+406829+1000+9838+107668+5000+0)/1000</f>
        <v>15386.18</v>
      </c>
      <c r="C12" s="30">
        <f>(0+0+0+0+0+0+0+0+0+0+0+0+0+0+0+0+0+0+0+0+0+0+0+0+0+0+0+0+0+0+0+0+0+0+0+0+0+0+0+0+0+0+0+0+0+0+0+0+0+0+0+0+0+0+0+0+0+0+0+0)/1000</f>
        <v>0</v>
      </c>
      <c r="D12" s="30">
        <f>(247529+43037+352911+155878+1946774+149557+122901+50036+50107+833841+521081+48717+58254+664503+262355+95650+96662+235048+331496+53976+233491+232726+478922+166935+205237+240155+47659+72490+126495+38883+357730+126262+1185583+441874+37716+543691+184731+144779+630278+51703+236713+47523+303832+1475860+79949+35906+261532+223614+94771+202753+34988+18910+20489+11430+388685+1000+9865+107964+5000+0)/1000</f>
        <v>15428.437</v>
      </c>
      <c r="E12" s="30">
        <f>SUM(C12:D12)</f>
        <v>15428.437</v>
      </c>
      <c r="F12" s="30">
        <f>(245254+42855+354815+154312+1958638+150778+121388+50166+50704+840328+521035+47956+58400+668811+263305+95781+93721+236499+333633+53915+236215+231354+472078+168241+204577+239147+47562+71686+127944+38463+358229+127140+1191670+442680+37746+543343+186075+143213+633028+51095+237075+47523+304805+1484853+79602+35932+263499+222236+95516+203290+35012+18949+20531+11454+381675+1000+9886+108184+5000+0)/1000</f>
        <v>15459.802</v>
      </c>
    </row>
    <row r="13" spans="1:7" x14ac:dyDescent="0.2">
      <c r="A13" s="31" t="s">
        <v>499</v>
      </c>
      <c r="B13" s="30">
        <f>(32468+9667+32265+19675+226600+22744+19129+9667+9667+92743+54221+9667+9667+82916+34802+15885+16230+31915+46089+9667+29572+37029+80402+27707+30142+35123+9667+9904+10496+9667+46558+16048+165756+45151+9667+76021+23478+19745+82832+9667+25719+9667+34882+168036+13417+9667+36504+33328+17282+33345+9667+2332+3910+1435+62017+0+2494+10171+10222+0)/1000</f>
        <v>2044.4110000000001</v>
      </c>
      <c r="C13" s="30">
        <f>(0+0+0+0+0+0+0+0+0+0+0+0+0+0+0+0+0+0+0+0+0+0+0+0+0+0+0+0+0+0+0+0+0+0+0+0+0+0+0+0+0+0+0+0+0+0+0+0+0+0+0+0+0+0+0+0+0+0+0+0)/1000</f>
        <v>0</v>
      </c>
      <c r="D13" s="30">
        <f>(32877+9777+35348+19954+230123+23322+18480+9777+9777+96606+57633+9777+9777+81316+35843+15771+15977+31861+45124+9777+29163+35481+76767+27272+29731+35083+9777+9975+11706+9777+46008+16318+157302+48564+9777+75076+24368+19786+80383+9777+26950+9777+36415+176444+13822+9777+37151+33209+16318+32604+9777+2453+3873+1511+59359+0+2378+10215+10266+0)/1000</f>
        <v>2053.2869999999998</v>
      </c>
      <c r="E13" s="30">
        <f>SUM(C13:D13)</f>
        <v>2053.2869999999998</v>
      </c>
      <c r="F13" s="30">
        <f>(0+0+0+0+0+0+0+0+0+0+0+0+0+0+0+0+0+0+0+0+0+0+0+0+0+0+0+0+0+0+0+0+0+0+0+0+0+0+0+0+0+0+0+0+0+0+0+0+0+0+0+0+0+0+0+0+0+0+0+0)/1000</f>
        <v>0</v>
      </c>
    </row>
    <row r="14" spans="1:7" x14ac:dyDescent="0.2">
      <c r="A14" s="12" t="s">
        <v>181</v>
      </c>
      <c r="B14" s="30"/>
      <c r="C14" s="30"/>
      <c r="D14" s="30"/>
      <c r="E14" s="30"/>
      <c r="F14" s="30"/>
      <c r="G14" s="12"/>
    </row>
    <row r="15" spans="1:7" x14ac:dyDescent="0.2">
      <c r="A15" s="31" t="s">
        <v>498</v>
      </c>
      <c r="B15" s="30">
        <f>(185993+37713+199884+114564+1238605+163101+136225+36696+18879+658654+347098+40739+57538+515417+264933+125121+109290+161822+193041+56061+204910+290890+408891+194282+122648+232782+38466+76529+75942+48627+370398+93352+777344+345041+30475+447005+152014+131857+436337+44810+181258+36304+243442+1032765+115975+29378+291083+225976+77036+213051+30818+6334+14121+4839+121580+6579+8975+94881+35+21400+0)/1000</f>
        <v>11939.804</v>
      </c>
      <c r="C15" s="30">
        <f>(0+0+0+0+0+0+0+0+0+0+0+0+0+0+0+0+0+0+0+0+0+0+0+0+0+0+0+0+0+0+0+0+0+0+0+0+0+0+0+0+0+0+0+0+0+0+0+0+0+0+0+0+0+0+0+0+0+0+0+0+0)/1000</f>
        <v>0</v>
      </c>
      <c r="D15" s="30">
        <f>(186367+37826+201820+114790+1253978+163386+136516+36804+19202+659904+347673+40817+57641+519232+265451+125383+109502+162140+193425+56198+205320+291540+409735+194672+122891+233262+38577+76688+77213+48734+371227+93545+779028+345653+31010+447895+152304+132112+437212+44912+181622+36436+243909+1034585+116170+29899+291639+226398+77998+213490+31367+6369+14121+4839+121761+6579+8975+95235+0+21400+0)/1000</f>
        <v>11984.377</v>
      </c>
      <c r="E15" s="30">
        <f>SUM(C15:D15)</f>
        <v>11984.377</v>
      </c>
      <c r="F15" s="30">
        <f>(186626+37888+203172+114949+1255717+163612+136705+36865+19519+660819+348155+40874+57721+519952+265820+125557+109654+162365+193693+56276+205604+291945+410304+194942+123061+233586+38638+76795+77839+48802+371742+93674+780108+346133+31522+448517+152516+132295+437818+44974+181874+36498+244247+1036020+116331+30394+292044+226712+78106+213786+31886+6369+14121+4839+121930+6579+8975+95382+0+20000+0)/1000</f>
        <v>12002.847</v>
      </c>
    </row>
    <row r="16" spans="1:7" x14ac:dyDescent="0.2">
      <c r="A16" s="31" t="s">
        <v>497</v>
      </c>
      <c r="B16" s="30">
        <f>(65201+10711+72822+40560+313323+38999+22244+10958+14977+184999+100000+12944+18814+112059+70816+30817+27815+53299+34327+16628+43856+50396+110553+50053+42782+67397+12134+18665+16381+10801+61751+24975+155365+110157+10404+104755+41741+44917+131563+10936+63659+10903+59043+278589+32356+11061+71643+58727+26954+62801+10404+924+2478+867+56762+0+1988+43000+0+0)/1000</f>
        <v>3164.0540000000001</v>
      </c>
      <c r="C16" s="30">
        <f>(0+0+0+0+0+0+0+0+0+0+0+0+0+0+0+0+0+0+0+0+0+0+0+0+0+0+0+0+0+0+0+0+0+0+0+0+0+0+0+0+0+0+0+0+0+0+0+0+0+0+0+0+0+0+0+0+0+0+0+0)/1000</f>
        <v>0</v>
      </c>
      <c r="D16" s="30">
        <f>(64257+10616+72603+38571+296297+44504+21288+10616+14538+194899+114106+12494+19259+113035+75931+32865+27950+57865+56905+16144+44234+47863+110872+49448+44016+69555+11793+18162+27278+10707+60807+25653+145642+114574+10616+131522+41388+42055+126921+10616+61164+10616+76512+252946+33943+10616+70470+57321+26476+60930+10616+948+2938+854+68027+0+2007+40189+0+0)/1000</f>
        <v>3225.038</v>
      </c>
      <c r="E16" s="30">
        <f>SUM(C16:D16)</f>
        <v>3225.038</v>
      </c>
      <c r="F16" s="30">
        <f>(69567+11594+80675+41897+325123+49057+22945+11594+15754+216845+125745+13630+21403+122652+82646+35638+30328+62762+61298+17442+48135+51434+120632+53925+47406+75521+12870+19737+30671+11594+65902+27978+157233+125952+11594+142595+44807+46324+136864+11594+67146+11594+83568+279751+37655+11594+76832+63348+28327+66035+11594+980+3252+916+72056+0+2227+43752+0+0)/1000</f>
        <v>3521.99</v>
      </c>
    </row>
    <row r="17" spans="1:7" x14ac:dyDescent="0.2">
      <c r="A17" s="12" t="s">
        <v>187</v>
      </c>
      <c r="B17" s="30"/>
      <c r="C17" s="30"/>
      <c r="D17" s="30"/>
      <c r="E17" s="30"/>
      <c r="F17" s="30"/>
      <c r="G17" s="12"/>
    </row>
    <row r="18" spans="1:7" x14ac:dyDescent="0.2">
      <c r="A18" s="31" t="s">
        <v>496</v>
      </c>
      <c r="B18" s="30">
        <f>(319667+32562+206434+194356+2668626+254391+77405+35252+42469+686575+404760+52297+82890+547395+191065+145720+124659+268215+358807+35722+295919+671336+264782+115190+316825+175197+103532+72490+69978+38242+462889+136040+1233546+479489+21887+409310+248980+249774+527349+72828+154192+26939+464951+1382120+131563+30244+291082+242501+61048+224461+12647+2902+26577+6706+192487+0+6878+0+0+0)/1000</f>
        <v>15952.147999999999</v>
      </c>
      <c r="C18" s="30">
        <f>(61162+6230+39497+37186+510588+48673+14810+6745+8126+131362+77443+10006+15859+104733+36556+27881+23851+51318+68651+6835+56618+128447+50661+22039+60618+33520+19809+13870+13389+7317+88565+26029+236014+91741+4188+78313+47637+47789+100898+13934+29502+5154+88959+264441+25172+5787+55693+46398+11680+42946+2420+555+5085+1283+36829+0+1316+0+0+0)/1000</f>
        <v>3052.1280000000002</v>
      </c>
      <c r="D18" s="30">
        <f>(281507+28675+181791+171155+2350062+224023+68165+31044+37399+604616+356442+46054+72995+482050+168257+128325+109778+236197+315975+31458+260594+591196+233174+101439+279004+154283+91173+63837+61624+33677+407632+119800+1086293+422251+19274+360449+219258+219957+464397+64134+135785+23723+409448+1217131+115858+26634+256334+213553+53760+197666+11137+2556+23404+5905+169509+0+6057+0+0+0)/1000</f>
        <v>14047.874</v>
      </c>
      <c r="E18" s="30">
        <f>SUM(C18:D18)</f>
        <v>17100.002</v>
      </c>
      <c r="F18" s="30">
        <f>(228446+23270+147525+138894+1907099+181797+55316+25192+30350+490652+289257+37373+59236+391189+136542+104137+89086+191676+256417+25528+211475+479762+189223+82319+226415+125202+73988+51804+50009+27329+330798+97219+881538+342661+15641+292508+177930+178498+376863+52046+110191+19252+332271+987714+94020+21613+208018+173300+43627+160408+9038+2074+18993+4792+137558+0+4915+0+0+0)/1000</f>
        <v>11399.994000000001</v>
      </c>
    </row>
    <row r="19" spans="1:7" x14ac:dyDescent="0.2">
      <c r="A19" s="31" t="s">
        <v>495</v>
      </c>
      <c r="B19" s="30">
        <v>422044.66200000001</v>
      </c>
      <c r="C19" s="30">
        <v>0</v>
      </c>
      <c r="D19" s="30">
        <v>431953.22</v>
      </c>
      <c r="E19" s="30">
        <v>431953.22</v>
      </c>
      <c r="F19" s="30">
        <v>452153.23800000001</v>
      </c>
    </row>
    <row r="20" spans="1:7" x14ac:dyDescent="0.2">
      <c r="A20" s="12" t="s">
        <v>199</v>
      </c>
      <c r="B20" s="30"/>
      <c r="C20" s="30"/>
      <c r="D20" s="30"/>
      <c r="E20" s="30"/>
      <c r="F20" s="30"/>
      <c r="G20" s="12"/>
    </row>
    <row r="21" spans="1:7" x14ac:dyDescent="0.2">
      <c r="A21" s="31" t="s">
        <v>494</v>
      </c>
      <c r="B21" s="30">
        <f>(93007+44397+199407+56546+3638696+135608+265908+32184+92304+560484+329650+98578+30307+583126+206117+130558+101478+180689+163431+77863+228342+457855+772795+260597+86481+216335+37889+56642+43762+38394+402702+109920+2434870+300438+26313+725566+144793+166244+717125+94708+99638+21207+190892+484652+75356+47197+157763+379065+109813+312846+18429+0+3454+0+71326+0+2837+195288+0+0)/1000</f>
        <v>16511.871999999999</v>
      </c>
      <c r="C21" s="30">
        <f>(0+0+0+0+0+0+0+0+0+0+0+0+0+0+0+0+0+0+0+0+0+0+0+0+0+0+0+0+0+0+0+0+0+0+0+0+0+0+0+0+0+0+0+0+0+0+0+0+0+0+0+0+0+0+0+0+0+0+0+0)/1000</f>
        <v>0</v>
      </c>
      <c r="D21" s="30">
        <f>(93007+44397+199407+56546+3637998+135608+265908+32184+92304+560484+329650+98578+30307+583126+206117+130558+101478+180689+163431+77863+228342+457855+772795+259826+86481+216335+37889+56627+43762+38394+402702+109920+2434870+300438+26313+725566+144793+166244+717125+94708+99638+21207+190892+484652+75356+47197+157763+379058+109813+312846+18429+0+3454+0+71326+0+2837+196779+0+0)/1000</f>
        <v>16511.871999999999</v>
      </c>
      <c r="E21" s="30">
        <f t="shared" ref="E21:E30" si="0">SUM(C21:D21)</f>
        <v>16511.871999999999</v>
      </c>
      <c r="F21" s="30">
        <f>(83984+40090+180061+51060+3285037+122451+240109+29062+83349+506106+297668+89014+27367+526551+186119+117891+91632+163159+147575+70309+206188+413434+697818+234618+78091+195347+34213+51133+39517+34669+363631+99255+2198638+271289+23760+655171+130745+150115+647549+85519+89971+19150+172371+437631+68045+42618+142457+342282+99159+282494+16641+0+3119+0+64406+0+2562+177688+0+0)/1000</f>
        <v>14909.888000000001</v>
      </c>
    </row>
    <row r="22" spans="1:7" x14ac:dyDescent="0.2">
      <c r="A22" s="31" t="s">
        <v>493</v>
      </c>
      <c r="B22" s="30">
        <f>(59060+21626+47835+37062+677466+54993+55094+24575+18221+197126+82577+16787+23747+113775+76978+41560+29914+56944+64699+22067+87866+73039+170256+128160+26419+65261+13018+28129+42423+15737+199993+30593+285064+107403+16215+201643+57163+73523+170625+10672+42831+8783+84621+306069+28073+11229+79524+125853+31033+95351+8537+0+5749+0+26667+0+3877+49686+0+0)/1000</f>
        <v>4433.1909999999998</v>
      </c>
      <c r="C22" s="30">
        <f>(0+0+0+0+0+0+0+0+0+0+0+0+0+0+0+0+0+0+0+0+0+0+0+0+0+0+0+0+0+0+0+0+0+0+0+0+0+0+0+0+0+0+0+0+0+0+0+0+0+0+0+0+0+0+0+0+0+0+0+0)/1000</f>
        <v>0</v>
      </c>
      <c r="D22" s="30">
        <f>(59874+21924+48494+37572+686802+55751+55853+24913+18472+199844+83715+17018+24074+115343+78038+42132+30326+57729+65591+22371+89077+74045+172601+129925+26783+66160+13197+28517+43007+15953+202749+31015+288993+108883+16438+204423+57950+74536+172976+10819+43421+8904+85787+310288+28460+11383+80620+127587+31460+96665+8654+0+5829+0+27034+0+3930+50730+0+0)/1000</f>
        <v>4494.6350000000002</v>
      </c>
      <c r="E22" s="30">
        <f t="shared" si="0"/>
        <v>4494.6350000000002</v>
      </c>
      <c r="F22" s="30">
        <f>(59222+21685+47966+37164+679330+55144+55245+24642+18271+197669+82804+16833+23812+114088+77189+41674+29996+57100+64877+22128+88107+73240+170724+128512+26492+65440+13053+28207+42539+15780+200543+30677+285849+107698+16259+202198+57320+73725+171094+10701+42948+8807+84854+306912+28150+11260+79743+126199+31118+95613+8560+0+5765+0+26740+0+3888+51693+0+0)/1000</f>
        <v>4447.2470000000003</v>
      </c>
    </row>
    <row r="23" spans="1:7" x14ac:dyDescent="0.2">
      <c r="A23" s="31" t="s">
        <v>492</v>
      </c>
      <c r="B23" s="30">
        <f>(44702+10271+20759+26840+170818+51094+78781+12045+10393+71144+56259+5147+19039+167585+75871+53776+33589+48679+42491+37792+74104+147261+158040+114628+29710+73694+19367+29375+10214+28572+120269+17653+366923+84289+19377+148254+32985+35323+209329+25313+35715+17396+58711+118378+23505+18991+83635+57036+28881+103182+9230+280+615+214+15263+0+581+37230+0+2987+0)/1000</f>
        <v>3393.585</v>
      </c>
      <c r="C23" s="30">
        <f>(0+0+0+0+0+0+0+0+0+0+0+0+0+0+0+0+0+0+0+0+0+0+0+0+0+0+0+0+0+0+0+0+0+0+0+0+0+0+0+0+0+0+0+0+0+0+0+0+0+0+0+0+0+0+0+0+0+0+0+0+0)/1000</f>
        <v>0</v>
      </c>
      <c r="D23" s="30">
        <f>(44625+10114+20723+28839+176926+49153+74727+12648+10307+71022+56162+4635+18882+166066+75183+53288+33488+49587+44592+37449+75674+136486+156604+113589+30122+74944+19208+29134+10197+25886+117768+17357+363598+88581+19217+146910+34124+34999+198483+24860+35654+17331+59250+118175+23312+18835+84986+56518+28644+102246+9155+278+610+212+15144+0+577+37228+0+2968+0)/1000</f>
        <v>3367.28</v>
      </c>
      <c r="E23" s="30">
        <f t="shared" si="0"/>
        <v>3367.28</v>
      </c>
      <c r="F23" s="30">
        <f>(0+0+0+0+0+0+0+0+0+0+0+0+0+0+0+0+0+0+0+0+0+0+0+0+0+0+0+0+0+0+0+0+0+0+0+0+0+0+0+0+0+0+0+0+0+0+0+0+0+0+0+0+0+0+0+0+0+0+0+0+0)/1000</f>
        <v>0</v>
      </c>
    </row>
    <row r="24" spans="1:7" x14ac:dyDescent="0.2">
      <c r="A24" s="31" t="s">
        <v>491</v>
      </c>
      <c r="B24" s="30">
        <f>(53212+5331+71548+33627+305024+35389+18404+7674+4614+168392+119099+10254+16762+99949+64662+24584+25907+51660+50191+9058+36159+35601+84094+38301+39442+53776+8062+15608+25644+5950+51269+24267+128772+96486+4453+96109+39418+32418+84195+6599+50746+7205+66924+292749+33287+3698+55372+48937+18028+42824+3545+3735+5383+2337+32120+0+2825+78540+0+14035+775+9995+0)/1000</f>
        <v>2855.0239999999999</v>
      </c>
      <c r="C24" s="30">
        <f>(0+0+0+0+0+0+0+0+0+0+0+0+0+0+0+0+0+0+0+0+0+0+0+0+0+0+0+0+0+0+0+0+0+0+0+0+0+0+0+0+0+0+0+0+0+0+0+0+0+0+0+0+0+0+0+0+0+0+0+0+0+0+0)/1000</f>
        <v>0</v>
      </c>
      <c r="D24" s="30">
        <f>(52849+5294+71060+33398+302946+35147+18278+7621+4582+167245+118286+10184+16647+99268+64221+24416+25730+51307+49849+8996+35913+35358+83520+38040+39173+53410+8007+15502+25469+5909+50919+24101+127895+95828+4423+95454+39149+32197+83620+6554+50400+7156+66468+290754+33060+3673+54995+48604+17905+42532+3520+3710+5346+2321+31900+0+2806+78007+0+14183+1500+10000+0)/1000</f>
        <v>2836.605</v>
      </c>
      <c r="E24" s="30">
        <f t="shared" si="0"/>
        <v>2836.605</v>
      </c>
      <c r="F24" s="30">
        <f>(47619+4771+64029+30093+272967+31669+16469+6867+4129+150695+106581+9176+15000+89445+57866+22000+23184+46230+44916+8106+32359+31859+75256+34276+35296+48124+7215+13968+22949+5325+45880+21716+115239+86345+3985+86008+35275+29011+75346+5905+45413+6448+59890+261982+29789+3310+49553+43794+16133+38323+3172+3348+4825+2095+28744+0+2532+70400+0+12800+1500+12800+0)/1000</f>
        <v>2560</v>
      </c>
    </row>
    <row r="25" spans="1:7" x14ac:dyDescent="0.2">
      <c r="A25" s="31" t="s">
        <v>490</v>
      </c>
      <c r="B25" s="30">
        <f>(16442+3545+19827+5300+85592+10174+18738+5179+4567+43027+36548+4972+2868+56874+26182+8508+9812+16702+13865+3019+23301+44973+32082+23368+6293+24669+3191+10595+2580+4582+26374+8308+101983+69639+2506+70124+24910+19409+55337+6634+9867+1711+37702+59844+12592+3945+21329+41883+8727+24511+2815+0+0+0+0+0+0+58340+0+14585+4000+0)/1000</f>
        <v>1254.45</v>
      </c>
      <c r="C25" s="30">
        <f>(0+0+0+0+0+0+0+0+0+0+0+0+0+0+0+0+0+0+0+0+0+0+0+0+0+0+0+0+0+0+0+0+0+0+0+0+0+0+0+0+0+0+0+0+0+0+0+0+0+0+0+0+0+0+0+0+0+0+0+0+0+0)/1000</f>
        <v>0</v>
      </c>
      <c r="D25" s="30">
        <f>(16442+3545+19827+5300+85592+10174+18738+5179+4567+43027+36548+4972+2868+56874+26182+8508+9812+16702+13865+3019+23301+44973+32082+23368+6293+24669+3191+10595+2580+4582+26374+8308+101983+69639+2506+70124+24910+19409+55337+6634+9867+1711+37702+59844+12592+3945+21329+41883+8727+24511+2815+0+0+0+0+0+0+58340+0+14585+4000+0)/1000</f>
        <v>1254.45</v>
      </c>
      <c r="E25" s="30">
        <f t="shared" si="0"/>
        <v>1254.45</v>
      </c>
      <c r="F25" s="30">
        <f>(16442+3545+19827+5300+85592+10174+18738+5179+4567+43027+36548+4972+2868+56874+26182+8508+9812+16702+13865+3019+23301+44973+32082+23368+6293+24669+3191+10595+2580+4582+26374+8308+101983+69639+2506+70124+24910+19409+55337+6634+9867+1711+37702+59844+12592+3945+21329+41883+8727+24511+2815+0+0+0+0+0+0+71760+0+17940+17940+0)/1000</f>
        <v>1285.165</v>
      </c>
    </row>
    <row r="26" spans="1:7" x14ac:dyDescent="0.2">
      <c r="A26" s="31" t="s">
        <v>489</v>
      </c>
      <c r="B26" s="30">
        <f>(25150+4398+37402+16279+210942+29161+16618+4714+2966+93742+57529+7395+9800+67616+36130+16847+16404+23330+25898+5634+31076+31357+48724+29811+16422+31384+5255+10811+15485+5840+45477+11518+96827+52552+4186+59711+22440+19853+61158+4759+24675+5017+33745+167819+21484+2677+42443+37498+8694+29584+3281+0+0+0+0+0+0+0+0+0)/1000</f>
        <v>1689.518</v>
      </c>
      <c r="C26" s="30">
        <f>(0+0+0+0+0+0+0+0+0+0+0+0+0+0+0+0+0+0+0+0+0+0+0+0+0+0+0+0+0+0+0+0+0+0+0+0+0+0+0+0+0+0+0+0+0+0+0+0+0+0+0+0+0+0+0+0+0+0+0+0)/1000</f>
        <v>0</v>
      </c>
      <c r="D26" s="30">
        <f>(24674+4316+36697+15971+206959+28614+16618+4625+2912+91998+56445+7257+9800+66329+35448+16531+16404+22890+25411+5634+30490+30765+48724+29250+16422+31384+5157+10811+15197+5729+44614+11298+94997+51559+4110+58581+22020+19482+60002+4668+24675+4923+33745+164693+21081+2626+42443+36797+8530+29024+3220+0+0+0+0+0+0+0+0+0)/1000</f>
        <v>1662.55</v>
      </c>
      <c r="E26" s="30">
        <f t="shared" si="0"/>
        <v>1662.55</v>
      </c>
      <c r="F26" s="30">
        <f>(34279+5995+50979+22188+287516+39747+22651+6425+4042+127771+78412+10080+13358+92162+49246+22963+22359+31799+35300+7680+42357+42741+66412+40632+22383+42776+7163+14735+21107+7960+61985+15699+131977+71629+5706+81386+30586+27060+83360+6486+33632+6838+45995+228740+29283+3649+57850+51110+11851+40323+4472+0+0+0+0+0+0+0+0+0)/1000</f>
        <v>2302.835</v>
      </c>
    </row>
    <row r="27" spans="1:7" x14ac:dyDescent="0.2">
      <c r="A27" s="31" t="s">
        <v>488</v>
      </c>
      <c r="B27" s="30">
        <f>(141099+17506+157736+92445+1210418+110072+65590+20398+31914+373041+231759+28431+34862+360265+143191+69878+75272+162763+185949+38146+102715+144474+330108+107292+206712+169331+33966+51443+38867+19648+168841+69113+555545+209945+22224+345844+118344+96695+317665+31405+116002+25972+162676+626118+68432+20595+137754+151504+66718+135610+20178+4947+3372+3650+294933+1893+9892+266318+0+395219+223706+24922+102659+0)/1000</f>
        <v>9553.982</v>
      </c>
      <c r="C27" s="30">
        <f>(0+0+0+0+0+0+0+0+0+0+0+0+0+0+0+0+0+0+0+0+0+0+0+0+0+0+0+0+0+0+0+0+0+0+0+0+0+0+0+0+0+0+0+0+0+0+0+0+0+0+0+0+0+0+0+0+0+0+0+0+0+0+0+0)/1000</f>
        <v>0</v>
      </c>
      <c r="D27" s="30">
        <f>(140025+16756+148892+92412+1144945+101328+65047+19506+31968+370316+230504+28153+32230+354219+134649+66932+69793+152028+184189+36390+99687+140358+316756+100391+200821+164132+31884+49509+37821+18278+168204+67862+550627+207649+21987+332283+116896+89019+307165+29708+114897+24660+157288+624168+59892+19511+133472+143418+65356+127931+17511+3659+2979+3249+294281+1679+9854+254897+0+383873+222932+24830+106429+0)/1000</f>
        <v>9268.0849999999991</v>
      </c>
      <c r="E27" s="30">
        <f t="shared" si="0"/>
        <v>9268.0849999999991</v>
      </c>
      <c r="F27" s="30">
        <f>(140183+16806+148665+91583+1147283+101403+65271+19366+31802+369450+230590+28264+32390+354932+134819+67314+70199+152353+184401+36534+100241+140778+316892+100661+201789+164163+31675+49586+37396+18362+168334+68118+552337+206406+22090+333221+116395+89010+307449+29775+114578+24791+157512+625202+59981+19407+133726+143503+65622+127917+17576+3694+3007+3175+295765+1695+9946+255091+0+384739+221402+25000+103385+0)/1000</f>
        <v>9275</v>
      </c>
    </row>
    <row r="28" spans="1:7" x14ac:dyDescent="0.2">
      <c r="A28" s="31" t="s">
        <v>487</v>
      </c>
      <c r="B28" s="30">
        <f>(54461+25580+169443+38400+1509183+77916+71503+7843+42469+223841+87295+18512+12016+198697+64220+18552+22666+51611+34910+17986+68848+134767+124327+53344+26783+74837+19044+19411+48836+12633+93137+20873+486191+98865+12601+221682+57083+100926+230720+13286+44354+6876+58767+207520+29247+15238+67728+101079+48577+73152+3908+0+0+0+5104+0+454+3879+0+0+0+0+34403+0)/1000</f>
        <v>5365.5839999999998</v>
      </c>
      <c r="C28" s="30">
        <f>(0+0+0+0+0+0+0+0+0+0+0+0+0+0+0+0+0+0+0+0+0+0+0+0+0+0+0+0+0+0+0+0+0+0+0+0+0+0+0+0+0+0+0+0+0+0+0+0+0+0+0+0+0+0+0+0+0+0+0+0+0+0+0+0)/1000</f>
        <v>0</v>
      </c>
      <c r="D28" s="30">
        <f>(53569+25161+166669+37771+1484473+76641+70332+7714+41774+220177+85866+18209+11820+195444+63169+18248+22295+50766+34338+17691+67721+132560+122292+52471+26344+73611+18732+19094+48036+12427+91613+20531+478229+97247+12395+218052+56149+99274+226942+13068+43628+6764+57805+204122+28769+14988+66619+99425+47782+71955+3844+0+0+0+5020+0+447+6910+0+0+0+0+33734+0)/1000</f>
        <v>5280.7269999999999</v>
      </c>
      <c r="E28" s="30">
        <f t="shared" si="0"/>
        <v>5280.7269999999999</v>
      </c>
      <c r="F28" s="30">
        <f>(54261+25486+168822+38259+1503649+77631+71241+7814+42314+223021+86975+18444+11972+197968+63985+18484+22583+51422+34782+17920+68596+134273+123871+53148+26685+74562+18974+19340+48657+12587+92796+20796+484406+98503+12555+220869+56874+100556+229874+13237+44191+6851+58552+206759+29140+15182+67480+100709+48399+72884+3894+0+0+0+5085+0+452+7028+0+0+0+0+35202+0)/1000</f>
        <v>5350</v>
      </c>
    </row>
    <row r="29" spans="1:7" x14ac:dyDescent="0.2">
      <c r="A29" s="31" t="s">
        <v>486</v>
      </c>
      <c r="B29" s="30">
        <f>(11070+21892+133747+22840+513039+16478+44135+1918+10296+152928+43099+15717+7671+80063+62663+38268+17934+54271+17911+17352+20658+29869+114946+31635+12471+37365+8179+17890+33546+3121+73765+21039+116998+63978+6723+157961+66977+42765+104476+7057+19400+4608+51775+143120+9980+33669+53612+44227+40834+48460+833+0+0+0+802+0+0+92+0+0)/1000</f>
        <v>2706.123</v>
      </c>
      <c r="C29" s="30">
        <f>(0+0+0+0+0+0+0+0+0+0+0+0+0+0+0+0+0+0+0+0+0+0+0+0+0+0+0+0+0+0+0+0+0+0+0+0+0+0+0+0+0+0+0+0+0+0+0+0+0+0+0+0+0+0+0+0+0+0+0+0)/1000</f>
        <v>0</v>
      </c>
      <c r="D29" s="30">
        <f>(11704+23145+141399+24147+542391+17421+46661+2027+10885+161677+45564+16616+8110+84644+66248+40457+18960+57376+18936+18345+21840+31578+121523+33445+13185+39502+8647+18914+35466+3299+77985+22242+123692+67638+7107+166999+70809+45212+110453+7461+20510+4872+54737+151308+10551+35595+56680+46757+43170+51232+881+0+0+0+847+0+0+150+0+0)/1000</f>
        <v>2861</v>
      </c>
      <c r="E29" s="30">
        <f t="shared" si="0"/>
        <v>2861</v>
      </c>
      <c r="F29" s="30">
        <f>(12583+24884+152026+25962+583155+18730+50167+2180+11703+173828+48989+17864+8720+91005+71227+43498+20385+61688+20359+19723+23481+33951+130656+35958+14176+42471+9297+20335+38131+3547+83846+23914+132988+72721+7641+179549+76130+48609+118754+8022+22051+5238+58851+162679+11344+38270+60939+50271+46414+55082+947+0+0+0+911+0+0+150+0+0)/1000</f>
        <v>3076</v>
      </c>
    </row>
    <row r="30" spans="1:7" x14ac:dyDescent="0.2">
      <c r="A30" s="31" t="s">
        <v>485</v>
      </c>
      <c r="B30" s="30">
        <f>(23792+3616+33434+14583+191677+26719+17583+4632+3292+99260+50018+7010+8104+62970+32414+15296+14257+21668+22871+6509+29411+33270+48587+26880+14652+29789+5058+9285+14155+6515+43864+10210+96932+49176+3706+56866+19152+19728+62689+5172+23974+4204+32319+134505+14670+3065+41048+35110+9030+28260+2870+56+273+55+8186+0+273+0+0+0)/1000</f>
        <v>1582.7</v>
      </c>
      <c r="C30" s="30">
        <f>(0+0+0+0+0+0+0+0+0+0+0+0+0+0+0+0+0+0+0+0+0+0+0+0+0+0+0+0+0+0+0+0+0+0+0+0+0+0+0+0+0+0+0+0+0+0+0+0+0+0+0+0+0+0+0+0+0+0+0+0)/1000</f>
        <v>0</v>
      </c>
      <c r="D30" s="30">
        <f>(23764+3625+33868+14602+191792+27073+17476+4652+3328+100722+50381+6980+8224+62553+32412+15317+14206+21681+22876+6506+29399+33285+48514+26973+14604+29773+5094+9319+14366+6522+43706+10169+96483+49581+3704+56752+19172+20002+62469+5162+24242+4229+32500+136149+14909+3052+41103+35612+8947+28237+2861+56+274+55+8213+0+274+0+0+0)/1000</f>
        <v>1587.8</v>
      </c>
      <c r="E30" s="30">
        <f t="shared" si="0"/>
        <v>1587.8</v>
      </c>
      <c r="F30" s="30">
        <f>(0+0+0+0+0+0+0+0+0+0+0+0+0+0+0+0+0+0+0+0+0+0+0+0+0+0+0+0+0+0+0+0+0+0+0+0+0+0+0+0+0+0+0+0+0+0+0+0+0+0+0+0+0+0+0+0+0+0+0+0)/1000</f>
        <v>0</v>
      </c>
    </row>
    <row r="31" spans="1:7" x14ac:dyDescent="0.2">
      <c r="A31" s="12" t="s">
        <v>227</v>
      </c>
      <c r="B31" s="30"/>
      <c r="C31" s="30"/>
      <c r="D31" s="30"/>
      <c r="E31" s="30"/>
      <c r="F31" s="30"/>
      <c r="G31" s="12"/>
    </row>
    <row r="32" spans="1:7" x14ac:dyDescent="0.2">
      <c r="A32" s="31" t="s">
        <v>484</v>
      </c>
      <c r="B32" s="30">
        <f>(22437+1220+15787+7745+181551+13126+11644+4918+16964+120791+64383+3732+4123+42291+41102+15485+3596+9593+23468+3590+34439+19450+18220+9269+22972+22273+2860+6306+10592+1464+42108+4274+180180+45663+714+22676+8497+6478+39358+6079+24265+915+28544+114484+8131+907+35249+13632+2481+11384+738+24+261+94+52905+50+1955+0+0+0)/1000</f>
        <v>1407.4369999999999</v>
      </c>
      <c r="C32" s="30">
        <f>(0+0+0+0+0+0+0+0+0+0+0+0+0+0+0+0+0+0+0+0+0+0+0+0+0+0+0+0+0+0+0+0+0+0+0+0+0+0+0+0+0+0+0+0+0+0+0+0+0+0+0+0+0+0+0+101+0+0+0+0)/1000</f>
        <v>0.10100000000000001</v>
      </c>
      <c r="D32" s="30">
        <f>(0+0+0+0+0+0+0+0+0+0+0+0+0+0+0+0+0+0+0+0+0+0+0+0+0+0+0+0+0+0+0+0+0+0+0+0+0+0+0+0+0+0+0+0+0+0+0+0+0+0+0+0+0+0+0+0+0+0+1306075+0)/1000</f>
        <v>1306.075</v>
      </c>
      <c r="E32" s="30">
        <f>SUM(C32:D32)</f>
        <v>1306.1760000000002</v>
      </c>
      <c r="F32" s="30">
        <f>(0+0+0+0+0+0+0+0+0+0+0+0+0+0+0+0+0+0+0+0+0+0+0+0+0+0+0+0+0+0+0+0+0+0+0+0+0+0+0+0+0+0+0+0+0+0+0+0+0+0+0+0+0+0+0+0+0+0+1315005+0)/1000</f>
        <v>1315.0050000000001</v>
      </c>
    </row>
    <row r="33" spans="1:7" x14ac:dyDescent="0.2">
      <c r="A33" s="12" t="s">
        <v>232</v>
      </c>
      <c r="B33" s="30"/>
      <c r="C33" s="30"/>
      <c r="D33" s="30"/>
      <c r="E33" s="30"/>
      <c r="F33" s="30"/>
      <c r="G33" s="12"/>
    </row>
    <row r="34" spans="1:7" x14ac:dyDescent="0.2">
      <c r="A34" s="31" t="s">
        <v>483</v>
      </c>
      <c r="B34" s="30">
        <f>(30794+8088+48552+13815+321315+21636+33687+8624+67503+101528+46840+7683+9044+125494+19507+14163+10328+20976+24428+11884+36683+68343+58470+26126+17571+25235+11016+11381+12834+11721+77560+11973+343674+42951+8932+50282+24903+31284+92839+17136+23613+8131+32461+142973+11459+9078+35475+51161+14922+19604+7475+1767+2457+1767+10937+50000+1919+0+0+0)/1000</f>
        <v>2352.002</v>
      </c>
      <c r="C34" s="30">
        <f>(0+0+0+0+0+0+0+0+0+0+0+0+0+0+0+0+0+0+0+0+0+0+0+0+0+0+0+0+0+0+0+0+0+0+0+0+0+0+0+0+0+0+0+0+0+0+0+0+0+0+0+0+0+0+0+0+0+0+0+0)/1000</f>
        <v>0</v>
      </c>
      <c r="D34" s="30">
        <f>(0+0+0+0+0+0+0+0+0+0+0+0+0+0+0+0+0+0+0+0+0+0+0+0+0+0+0+0+0+0+0+0+0+0+0+0+0+0+0+0+0+0+0+0+0+0+0+0+0+0+0+0+0+0+0+0+0+0+0+0)/1000</f>
        <v>0</v>
      </c>
      <c r="E34" s="30">
        <f>SUM(C34:D34)</f>
        <v>0</v>
      </c>
      <c r="F34" s="30">
        <f>(0+0+0+0+0+0+0+0+0+0+0+0+0+0+0+0+0+0+0+0+0+0+0+0+0+0+0+0+0+0+0+0+0+0+0+0+0+0+0+0+0+0+0+0+0+0+0+0+0+0+0+0+0+0+0+0+0+0+0+0)/1000</f>
        <v>0</v>
      </c>
    </row>
    <row r="35" spans="1:7" x14ac:dyDescent="0.2">
      <c r="A35" s="12" t="s">
        <v>340</v>
      </c>
      <c r="B35" s="30"/>
      <c r="C35" s="30"/>
      <c r="D35" s="30"/>
      <c r="E35" s="30"/>
      <c r="F35" s="30"/>
      <c r="G35" s="12"/>
    </row>
    <row r="36" spans="1:7" x14ac:dyDescent="0.2">
      <c r="A36" s="31" t="s">
        <v>482</v>
      </c>
      <c r="B36" s="30">
        <f>(199754+41190+174195+102537+3715705+273945+414307+42203+212039+938427+516947+128436+40177+959731+210741+101878+67084+205664+359884+87779+572635+1023415+372839+241125+163300+258332+35332+69567+145253+86893+764227+79016+2510335+377538+37073+570763+140345+250237+632446+85824+162242+30816+227586+1091013+77980+59361+420769+535306+78785+158711+14817+0+32235+3181+195776+0+14848+0+0+0)/1000</f>
        <v>20312.544000000002</v>
      </c>
      <c r="C36" s="30">
        <f>(881+182+769+452+16396+1209+1828+186+936+4141+2281+567+177+4235+930+450+296+908+1588+387+2527+4516+1645+1064+721+1140+156+307+641+383+3372+349+11077+1666+164+2519+619+1104+2791+379+716+136+1004+4814+344+262+1857+2362+348+700+65+0+142+14+864+0+66+0+378445+0)/1000</f>
        <v>468.07799999999997</v>
      </c>
      <c r="D36" s="30">
        <f>(195828+40380+170771+100522+3642678+268561+406165+41373+207872+919983+506787+125912+39387+940869+206599+99876+65765+201622+352811+86054+561381+1003302+365511+236386+160091+253255+34637+68199+142398+85186+749207+77463+2460999+370118+36345+559546+137586+245319+620016+84137+159053+30210+223113+1069571+76448+58194+412499+524786+77236+155592+14526+0+31601+3119+191929+0+14556+0+240865+0)/1000</f>
        <v>20154.195</v>
      </c>
      <c r="E36" s="30">
        <f>SUM(C36:D36)</f>
        <v>20622.273000000001</v>
      </c>
      <c r="F36" s="30">
        <f>(187541+38671+163544+96268+3488525+257196+388976+39622+199075+881051+485340+120584+37720+901053+197856+95649+62982+193090+337881+82412+537624+960843+350043+226382+153316+242538+33172+65313+136372+81581+717502+74185+2356852+354455+34807+535866+131764+234938+593778+80576+152323+28932+213671+1024308+73212+55732+395043+502577+73968+149008+13911+0+30264+2987+183807+0+13940+0+327000+0)/1000</f>
        <v>19397.626</v>
      </c>
    </row>
    <row r="37" spans="1:7" x14ac:dyDescent="0.2">
      <c r="A37" s="31" t="s">
        <v>481</v>
      </c>
      <c r="B37" s="30">
        <f>(121755+8294+19463+31782+104977+26274+63342+11035+50104+116428+105517+23420+1207+249136+42276+5990+19010+53361+55099+13160+82511+143539+62645+44663+40011+25093+5118+13432+14398+10849+148515+11058+894873+103603+2996+169618+35330+18627+279236+32610+46670+2638+98201+145820+3407+3156+64770+47462+16121+16830+1728+0+3994+0+213480+0+19259+0+0+0)/1000</f>
        <v>3943.8910000000001</v>
      </c>
      <c r="C37" s="30">
        <f>(23148+1577+3700+6042+19958+4995+12043+2098+9526+22135+20061+4453+229+47366+8038+1139+3614+10145+10475+2502+15687+27290+11910+8491+7607+4771+973+2554+2737+2063+28236+2102+170134+19697+570+32248+6717+3541+53089+6200+8873+502+18670+27723+648+600+12315+9023+3065+3200+329+0+759+0+40587+0+3662+0+3035+0)/1000</f>
        <v>752.85199999999998</v>
      </c>
      <c r="D37" s="30">
        <f>(133379+9085+21322+34816+114999+28782+69389+12088+54887+115680+114602+25656+1322+261057+46312+6562+20825+58455+60359+14416+90388+147356+68625+48927+43831+27489+5607+14715+15773+11885+152807+12114+980305+113494+3282+185812+38703+20405+296008+35723+51126+2890+97690+159741+3732+3457+70953+51993+17660+18436+1893+0+4375+0+223270+0+21098+0+0+0)/1000</f>
        <v>4245.5559999999996</v>
      </c>
      <c r="E37" s="30">
        <f>SUM(C37:D37)</f>
        <v>4998.4079999999994</v>
      </c>
      <c r="F37" s="30">
        <f>(80881+5483+12932+21431+70108+17546+41994+7306+33089+77203+70288+15484+834+164863+28115+4177+12901+35642+36914+8770+54587+95214+41792+29960+26600+16988+3420+9228+9517+7230+98878+7422+591420+68829+2099+112249+23677+12373+184660+21625+30959+1859+65128+97627+2313+2114+42903+31455+10755+11505+1168+0+2644+3+141213+0+12723+0+46902+0)/1000</f>
        <v>2665</v>
      </c>
    </row>
    <row r="38" spans="1:7" x14ac:dyDescent="0.2">
      <c r="A38" s="31" t="s">
        <v>480</v>
      </c>
      <c r="B38" s="30">
        <f>(58103+2020+7505+17322+63345+11126+24009+4628+14117+49314+59154+9139+1305+110901+23314+6585+11359+33827+37975+6187+24213+54610+31837+29815+16375+27119+2721+9979+4076+5172+64748+5922+395487+46431+2773+71379+15918+8760+115255+13761+26002+2281+52415+73562+2688+1906+31398+23222+8431+18191+976+0+1574+3+104009+0+6136+1964+615+0)/1000</f>
        <v>1852.9590000000001</v>
      </c>
      <c r="C38" s="30">
        <f>(1545+35+607+4471+6745+1055+1248+72+230+1827+1711+429+30+5051+5229+689+284+4306+3754+716+3526+2302+851+1585+308+544+300+241+69+102+2983+404+12396+2177+347+4110+880+966+6447+1276+1057+850+6519+2799+61+35+1533+954+844+1068+23+0+24+1+1753+0+101+1283+32987+0)/1000</f>
        <v>133.74</v>
      </c>
      <c r="D38" s="30">
        <f>(59409+2061+8100+22866+62854+11304+24660+4355+14415+49659+59356+9330+1073+108042+27588+4877+11902+31676+35800+5923+23701+56361+32796+31255+16437+27661+2772+9184+5058+5630+66580+6028+402662+47929+2384+71914+16363+8682+112867+13951+22051+2730+55271+74327+2971+1927+32113+23907+8592+18605+992+0+1418+3+106169+0+6265+2058+20427+0)/1000</f>
        <v>1895.2909999999999</v>
      </c>
      <c r="E38" s="30">
        <f>SUM(C38:D38)</f>
        <v>2029.0309999999999</v>
      </c>
      <c r="F38" s="30">
        <f>(0+0+0+0+0+0+0+0+0+0+0+0+0+0+0+0+0+0+0+0+0+0+0+0+0+0+0+0+0+0+0+0+0+0+0+0+0+0+0+0+0+0+0+0+0+0+0+0+0+0+0+0+0+0+0+0+0+0+0+0)/1000</f>
        <v>0</v>
      </c>
    </row>
    <row r="39" spans="1:7" x14ac:dyDescent="0.2">
      <c r="A39" s="12" t="s">
        <v>353</v>
      </c>
      <c r="B39" s="30"/>
      <c r="C39" s="30"/>
      <c r="D39" s="30"/>
      <c r="E39" s="30"/>
      <c r="F39" s="30"/>
      <c r="G39" s="12"/>
    </row>
    <row r="40" spans="1:7" x14ac:dyDescent="0.2">
      <c r="A40" s="31" t="s">
        <v>479</v>
      </c>
      <c r="B40" s="30">
        <f>(38886+1613+21283+6597+276258+36067+38416+230+13778+133571+988+12322+10653+63739+26798+7228+23218+38663+43413+12960+23043+61003+24297+46280+24689+36481+1117+8354+28307+10039+58298+5040+63010+51809+4640+102951+25074+28180+46603+17144+31517+6471+45288+169527+23587+6283+54669+36360+19765+23419+3503+1022+3044+985+27951+0+1949+61824+0+0)/1000</f>
        <v>1990.204</v>
      </c>
      <c r="C40" s="30">
        <f>(27202+2629+34149+16721+222816+5142+9699+6127+13794+126898+75987+7209+3828+139329+34511+25925+3873+0+21365+3298+32085+32684+96943+12278+3539+44633+6423+10468+3264+9406+38255+15671+259685+23513+371+59723+0+4775+148352+7806+7426+0+0+140289+2403+720+7841+19490+15400+35547+2787+1016+3051+1002+25615+0+1930+2928+0+0)/1000</f>
        <v>1857.8209999999999</v>
      </c>
      <c r="D40" s="30">
        <f>(22086+2753+10292+14443+88167+18891+16795+1458+8952+24456+24212+7948+5719+24034+34828+18663+12758+25093+14524+8411+14560+37883+30475+23051+15087+21037+4438+10250+13319+6465+31416+7222+46454+30894+3011+77174+15836+17560+37391+8067+17428+4200+29393+87602+11173+4078+27945+28095+9978+29346+2266+659+1980+651+33119+0+1253+56000+0+0)/1000</f>
        <v>1181.239</v>
      </c>
      <c r="E40" s="30">
        <f>SUM(C40:D40)</f>
        <v>3039.06</v>
      </c>
      <c r="F40" s="30">
        <f>(8596+0+51287+1162+289636+7722+14567+6175+0+144262+58687+0+3995+169325+9940+6605+5817+0+32087+4953+34503+49087+96551+18333+4650+36502+1055+1019+0+2077+44374+7999+321511+35314+558+26789+0+7172+167224+4209+11153+0+0+121212+3609+1081+11776+12191+4672+16753+0+0+0+0+3810+0+0+3000+0+0)/1000</f>
        <v>1863</v>
      </c>
    </row>
    <row r="41" spans="1:7" x14ac:dyDescent="0.2">
      <c r="A41" s="31" t="s">
        <v>478</v>
      </c>
      <c r="B41" s="30">
        <f>(28641+0+0+0+70359+118023+113556+0+0+58602+0+0+0+58641+0+96887+0+0+2016127+0+5200+25138+0+0+0+39317+0+0+0+0+1287693+0+3919558+198553+3461+0+38939+0+21061+5253+221969+0+109558+142336+0+0+120549+0+104280+0+0+0+0+0+0+0+0+0+0+0)/1000</f>
        <v>8803.7009999999991</v>
      </c>
      <c r="C41" s="30">
        <f>(0+0+0+0+0+0+0+0+0+213316+0+0+0+0+0+0+0+0+51435+0+0+0+0+0+0+0+0+0+0+0+0+0+0+37976+0+0+0+0+0+0+78110+0+0+1605867+0+0+0+0+45595+0+0+0+0+0+0+0+0+0+437466+0)/1000</f>
        <v>2469.7649999999999</v>
      </c>
      <c r="D41" s="30">
        <f>(0+0+0+0+0+0+0+0+0+0+0+0+0+0+0+0+0+0+0+0+0+0+0+0+0+0+0+0+0+0+0+0+0+0+0+0+0+0+0+0+0+0+0+0+0+0+0+0+0+0+0+0+0+0+0+0+0+0+0+0)/1000</f>
        <v>0</v>
      </c>
      <c r="E41" s="30">
        <f>SUM(C41:D41)</f>
        <v>2469.7649999999999</v>
      </c>
      <c r="F41" s="30">
        <f>(0+0+0+0+0+0+0+0+0+461942+0+0+0+0+0+0+0+0+0+0+0+0+0+0+0+0+0+0+0+0+0+0+0+0+0+0+0+0+0+0+0+0+0+3768161+0+0+0+0+0+0+0+0+0+0+0+0+0+0+1312397+0)/1000</f>
        <v>5542.5</v>
      </c>
    </row>
    <row r="42" spans="1:7" x14ac:dyDescent="0.2">
      <c r="A42" s="12" t="s">
        <v>357</v>
      </c>
      <c r="B42" s="30"/>
      <c r="C42" s="30"/>
      <c r="D42" s="30"/>
      <c r="E42" s="30"/>
      <c r="F42" s="30"/>
      <c r="G42" s="12"/>
    </row>
    <row r="43" spans="1:7" x14ac:dyDescent="0.2">
      <c r="A43" s="31" t="s">
        <v>477</v>
      </c>
      <c r="B43" s="30">
        <f>(28834+24305+32725+19347+363582+36839+54196+8650+10493+86854+56449+13527+23092+152577+39190+25502+17680+27512+26379+12708+53543+61159+117114+43078+23238+39101+8786+13724+24123+11477+107956+13679+175873+53531+13689+78856+21539+47787+121041+13539+26837+5014+34065+134772+24328+10576+40412+81182+13392+58494+8610+0+0+0+15653+0+2236+0+0+1765+8845+0)/1000</f>
        <v>2569.4549999999999</v>
      </c>
      <c r="C43" s="30">
        <f>(0+0+0+0+0+0+0+0+0+0+0+0+0+0+0+0+0+0+0+0+0+0+0+0+0+0+0+0+0+0+0+0+0+0+0+0+0+0+0+0+0+0+0+0+0+0+0+0+0+0+0+0+0+0+0+0+0+0+0+0+0+0)/1000</f>
        <v>0</v>
      </c>
      <c r="D43" s="30">
        <f>(28199+23703+31914+18868+354571+35926+52853+8435+10233+84701+55050+13191+22520+148796+38218+24870+17241+26830+25725+12393+52216+59643+114212+42010+22662+38132+8568+13384+23525+11192+105280+13340+171514+52204+13350+76902+21005+46603+118041+13204+26172+4889+33221+131432+23725+10314+39411+79170+13061+57044+8397+0+0+0+15265+0+2181+0+0+1721+8626+0)/1000</f>
        <v>2505.8530000000001</v>
      </c>
      <c r="E43" s="30">
        <f>SUM(C43:D43)</f>
        <v>2505.8530000000001</v>
      </c>
      <c r="F43" s="30">
        <f>(26515+22350+30093+17791+334342+33876+49837+7954+9649+79869+51909+12439+21235+140307+36038+23452+16258+25299+24258+11686+49237+56240+107696+39614+21369+35957+8079+12620+22183+10554+99274+12579+161729+49226+12589+19806+19806+43944+111306+12451+24679+4610+31326+123934+22372+9726+37162+74653+12315+53790+7918+0+0+0+14394+0+2056+0+0+1623+8134+0)/1000</f>
        <v>2310.1080000000002</v>
      </c>
    </row>
    <row r="44" spans="1:7" x14ac:dyDescent="0.2">
      <c r="A44" s="12" t="s">
        <v>362</v>
      </c>
      <c r="B44" s="30"/>
      <c r="C44" s="30"/>
      <c r="D44" s="30"/>
      <c r="E44" s="30"/>
      <c r="F44" s="30"/>
      <c r="G44" s="12"/>
    </row>
    <row r="45" spans="1:7" x14ac:dyDescent="0.2">
      <c r="A45" s="31" t="s">
        <v>476</v>
      </c>
      <c r="B45" s="30">
        <f>(63650+68737+94778+32372+1757177+139133+176887+18270+479152+453990+212639+38318+16717+532937+92325+46168+29744+60353+74391+23399+164124+389707+152156+206102+36282+129752+29965+14218+116737+22032+482746+29611+1366538+163101+12476+144729+52146+158475+388502+47401+53440+15731+107473+507108+60804+23992+118316+268838+27045+102449+9610+0+3033+0+23299+0+1845+0+83000+0)/1000</f>
        <v>9923.92</v>
      </c>
      <c r="C45" s="30">
        <f>(42183+45555+62813+21454+1164546+92208+117230+12108+317552+300876+140923+25395+11079+353197+61187+30597+19713+39998+49301+15507+108771+258273+100840+136591+24045+85992+19859+9423+77366+14601+319934+19624+905654+108093+8268+95917+34559+105027+257475+31415+35417+10426+71226+336079+40297+15900+78412+178169+17924+67897+6369+0+2010+0+15441+0+1223+0+48450+0)/1000</f>
        <v>6570.3890000000001</v>
      </c>
      <c r="D45" s="30">
        <f>(31823+34366+47385+16185+878517+69561+88436+9134+239557+226977+106311+19157+8358+266447+46159+23082+14871+30174+37192+11699+82055+194838+76072+103042+18139+64871+14981+7109+58364+11015+241353+14804+683213+81544+6237+72359+26071+79231+194235+23699+26718+7865+53732+253533+30399+11995+59153+134408+13521+51220+4805+0+1516+0+11648+0+923+0+36550+0)/1000</f>
        <v>4956.6090000000004</v>
      </c>
      <c r="E45" s="30">
        <f>SUM(C45:D45)</f>
        <v>11526.998</v>
      </c>
      <c r="F45" s="30">
        <f>(72318+78097+107685+36780+1996459+158079+200975+20758+544401+515812+241594+43536+18993+605510+104897+52455+33795+68572+84521+26585+186474+442775+172876+234167+41222+147421+34046+16154+132634+25032+548484+33643+1552624+185312+14174+164438+59247+180055+441406+53856+60717+17873+122108+576163+69084+27259+134427+305447+30728+116400+10919+0+3446+0+26472+0+2097+0+85000+0)/1000</f>
        <v>11266.002</v>
      </c>
    </row>
    <row r="46" spans="1:7" x14ac:dyDescent="0.2">
      <c r="A46" s="12" t="s">
        <v>371</v>
      </c>
      <c r="B46" s="30"/>
      <c r="C46" s="30"/>
      <c r="D46" s="30"/>
      <c r="E46" s="30"/>
      <c r="F46" s="30"/>
      <c r="G46" s="12"/>
    </row>
    <row r="47" spans="1:7" x14ac:dyDescent="0.2">
      <c r="A47" s="31" t="s">
        <v>475</v>
      </c>
      <c r="B47" s="30">
        <f>(50072+222528+83655+31802+292478+51099+35663+6089+250+219656+75442+13803+36991+127586+59878+43754+39700+36094+72240+20430+26307+35868+67440+39528+31297+57710+40873+33905+35093+14580+19792+30104+106607+116244+81799+96829+41925+48987+84267+11564+61503+28595+68311+255074+52426+19998+59030+81939+32880+58172+32588+15663+9701+8817+3424+3000+1751+0+0+0)/1000</f>
        <v>3332.8009999999999</v>
      </c>
      <c r="C47" s="30">
        <f>(0+0+0+0+0+0+0+0+0+0+0+0+0+0+0+0+0+0+0+0+0+0+0+0+0+0+0+0+0+0+0+0+0+0+0+0+0+0+0+0+0+0+0+0+0+0+0+0+0+0+0+0+0+0+0+0+0+0+0+0)/1000</f>
        <v>0</v>
      </c>
      <c r="D47" s="30">
        <f>(50398+203687+64088+31678+262297+69002+22261+8216+242+162962+74123+25134+29863+148963+61694+33888+37046+42706+67336+21863+29371+39170+66545+46276+36624+60880+39107+36781+43761+10516+23226+32549+107213+81532+61442+74429+37285+50268+70881+26822+63646+25847+65343+248387+46295+21517+69600+73700+19557+50498+30562+11028+6665+6530+10770+15317+6911+0+0+0)/1000</f>
        <v>3164.2979999999998</v>
      </c>
      <c r="E47" s="30">
        <f>SUM(C47:D47)</f>
        <v>3164.2979999999998</v>
      </c>
      <c r="F47" s="30">
        <f>(50795+205291+64592+31927+264362+69545+22436+8281+244+164244+74707+25332+30098+150136+62180+34155+37337+43043+67866+22036+29602+39479+67068+46640+36913+61359+39414+37071+44105+10599+23409+32806+108057+82174+61926+75014+37579+50664+71439+27033+64147+26050+65857+250342+46660+21687+70148+74280+19711+50896+30803+11114+6717+6581+10855+15437+6966+0+0+0)/1000</f>
        <v>3189.2089999999998</v>
      </c>
    </row>
    <row r="48" spans="1:7" x14ac:dyDescent="0.2">
      <c r="A48" s="12" t="s">
        <v>374</v>
      </c>
      <c r="B48" s="30"/>
      <c r="C48" s="30"/>
      <c r="D48" s="30"/>
      <c r="E48" s="30"/>
      <c r="F48" s="30"/>
      <c r="G48" s="12"/>
    </row>
    <row r="49" spans="1:7" x14ac:dyDescent="0.2">
      <c r="A49" s="31" t="s">
        <v>474</v>
      </c>
      <c r="B49" s="30">
        <f>(846690+516199+770997+592195+3591849+725993+544188+200245+303030+1949768+1401233+150117+301459+1573537+1000596+517033+401820+696099+823986+196056+572833+627682+1103616+669472+543542+1025986+432911+315014+363253+178114+817948+388655+1579237+1146693+254868+1431577+671093+477987+1765134+212113+791372+301059+821933+3847706+366879+213899+998523+776167+474870+824710+270795+2729+15124+15349+44243+0+12367+0+0+0)/1000</f>
        <v>41458.542999999998</v>
      </c>
      <c r="C49" s="30">
        <f>(536+19123+0+0+778946+0+0+0+0+91904+0+0+13304+1313+0+0+970+2188+14004+0+0+0+0+347+0+5027+0+0+10772+1751+2713+0+16165+22319+919+17418+3501+10941+0+0+13557+0+0+125883+0+5252+0+2539+7002+2552+0+0+0+0+195080+0+19937+0+122120+0)/1000</f>
        <v>1508.0830000000001</v>
      </c>
      <c r="D49" s="30">
        <f>(711893+471641+686475+485787+3458260+501706+466431+157556+149706+1783429+1211479+156626+269187+1334008+874929+461126+354632+623557+657367+161495+563812+569816+987848+605319+448804+883698+384133+271199+341354+155129+936932+338927+1575826+979939+232997+1257406+594630+468841+1539419+201913+629136+263180+780823+3423446+325804+190302+945671+634962+410473+706138+239384+2238+12406+12591+142467+0+11379+0+6616874+0)/1000</f>
        <v>43662.506000000001</v>
      </c>
      <c r="E49" s="30">
        <f>SUM(C49:D49)</f>
        <v>45170.589</v>
      </c>
      <c r="F49" s="30">
        <f>(754571+499916+727602+514908+3701271+531761+499463+168220+158675+1890407+1284075+168197+285328+1413922+947595+488768+375890+660938+698942+183573+597583+603940+1047030+648506+480997+941830+408040+287453+361808+164425+993043+365212+1670201+1038678+246961+1334134+630975+497804+1631654+217491+666859+280458+840378+3540835+345330+202180+1011996+674333+435081+748461+254774+2316+12838+13030+158454+0+11820+0+6686666+0)/1000</f>
        <v>46007.595999999998</v>
      </c>
    </row>
    <row r="50" spans="1:7" x14ac:dyDescent="0.2">
      <c r="A50" s="12" t="s">
        <v>381</v>
      </c>
      <c r="B50" s="30"/>
      <c r="C50" s="30"/>
      <c r="D50" s="30"/>
      <c r="E50" s="30"/>
      <c r="F50" s="30"/>
      <c r="G50" s="12"/>
    </row>
    <row r="51" spans="1:7" x14ac:dyDescent="0.2">
      <c r="A51" s="31" t="s">
        <v>473</v>
      </c>
      <c r="B51" s="30">
        <f>(14975+8015+15905+8761+95848+10712+16406+7256+5892+45205+22643+9983+6574+60663+32275+18125+12088+17044+14447+10367+32390+45469+57583+24392+12066+37125+6574+6850+6574+13383+54726+8124+147822+24170+6574+75392+11642+15128+53048+8992+13720+6574+31739+61210+7056+6574+27407+23289+20877+36205+6579+6723+6465+3373+17755+0+4149+10268+0+8812+756+0)/1000</f>
        <v>1380.739</v>
      </c>
      <c r="C51" s="30">
        <f>(454+243+274+266+2904+325+497+199+199+1371+687+314+199+1837+979+550+367+517+446+314+982+1379+1746+746+366+1126+199+208+199+406+1659+199+4482+733+199+2286+328+459+1609+273+416+199+590+1856+214+199+831+706+633+1098+199+220+159+102+530+0+128+900+0+0+25+0)/1000</f>
        <v>41.530999999999999</v>
      </c>
      <c r="D51" s="30">
        <f>(14682+7858+8868+8589+93904+10502+16085+6446+6446+44319+22199+10169+6446+59381+31642+17770+11851+16710+14434+10164+31756+44578+56455+24133+11829+36398+6446+6715+6446+13121+53654+6446+144923+23696+6446+73915+10608+14832+52008+8816+13451+6446+19073+60011+6918+6446+26870+22833+20468+35496+6446+7118+5150+3308+17124+0+4131+29100+0+0+815+0)/1000</f>
        <v>1342.89</v>
      </c>
      <c r="E51" s="30">
        <f>SUM(C51:D51)</f>
        <v>1384.421</v>
      </c>
      <c r="F51" s="30">
        <f>(10803+5782+6526+6320+69099+7728+11836+4743+4743+32613+16336+7483+4743+43696+23284+13076+8721+12297+10621+7479+23367+32803+41543+17758+8705+26784+4743+4942+4743+9655+39481+4743+106640+17437+4743+54391+7806+10914+38271+6487+9898+4743+14035+44159+5091+4743+19773+16802+15061+26120+4743+5239+3791+2435+12601+0+3041+30000+0+0+840+0)/1000</f>
        <v>997</v>
      </c>
    </row>
    <row r="52" spans="1:7" x14ac:dyDescent="0.2">
      <c r="A52" s="31" t="s">
        <v>472</v>
      </c>
      <c r="B52" s="30">
        <f>(15740+8241+20006+12610+79255+14344+8351+8241+8241+30143+17968+8316+8241+34488+13368+12326+9167+12830+12751+8241+13987+15319+25662+14747+8534+16637+8241+8312+11753+8241+15680+9300+39558+19283+8241+22929+13751+11705+26351+8241+8241+8241+8241+59590+8600+8241+13658+18394+8241+14372+8241+1426+3671+3181+8412+0+0+8171+0+1560+225+50+536+3760+100000+0)/1000</f>
        <v>944.39200000000005</v>
      </c>
      <c r="C52" s="30">
        <f>(477+250+451+382+2352+435+253+250+250+914+545+250+250+1043+405+374+285+389+343+250+424+465+778+447+259+505+250+250+356+250+476+250+1200+585+250+695+403+355+799+250+250+250+250+1807+261+250+414+558+250+436+250+43+111+96+250+0+124+600+0+64+0+0+60+0+0+0)/1000</f>
        <v>25.719000000000001</v>
      </c>
      <c r="D52" s="30">
        <f>(15436+8082+14592+12367+76048+14067+8190+8082+8082+29562+17622+8082+8082+33729+13111+12088+9211+12583+11081+8082+13718+15023+25157+14463+8369+16316+8082+8082+11527+8082+15377+8082+38795+18910+8082+22467+13022+11480+25843+8082+8082+8082+8082+58440+8433+8082+13390+18039+8082+14095+8082+1399+3601+3120+8082+0+4004+19400+0+2079+0+0+1940+0+0+0)/1000</f>
        <v>831.65200000000004</v>
      </c>
      <c r="E52" s="30">
        <f>SUM(C52:D52)</f>
        <v>857.37100000000009</v>
      </c>
      <c r="F52" s="30">
        <f>(16021+8388+15145+12835+78926+14600+8500+8388+8388+30681+18289+8388+8388+35007+13607+12546+9560+13059+11501+8388+14237+15593+26110+15011+8686+16934+8388+8388+11963+8388+15960+8388+40265+19627+8388+23318+13516+11914+26821+8388+8388+8388+8388+60654+8753+8388+13897+18722+8388+14629+8388+1451+3737+3237+8388+0+4158+20000+0+2158+0+0+2000+0+0+0)/1000</f>
        <v>863</v>
      </c>
    </row>
    <row r="53" spans="1:7" x14ac:dyDescent="0.2">
      <c r="A53" s="12" t="s">
        <v>93</v>
      </c>
      <c r="B53" s="30"/>
      <c r="C53" s="30"/>
      <c r="D53" s="30"/>
      <c r="E53" s="30"/>
      <c r="F53" s="30"/>
      <c r="G53" s="12"/>
    </row>
    <row r="54" spans="1:7" x14ac:dyDescent="0.2">
      <c r="A54" s="31" t="s">
        <v>471</v>
      </c>
      <c r="B54" s="30">
        <f>(39536+36566+48314+23427+277753+23102+16061+5634+4897+107087+75506+5699+9536+99761+53771+15210+17762+30080+47327+4292+17617+30757+46616+26711+24600+33043+4819+8080+7588+3119+58883+27226+81876+81760+1731+69503+40707+17641+61844+4097+32450+3795+84118+202494+8069+3699+39273+32549+16855+35363+5250+1226+162+994+17571+0+1087+51218+0+0)/1000</f>
        <v>2125.712</v>
      </c>
      <c r="C54" s="30">
        <f>(0+0+0+0+0+0+0+0+0+0+0+0+0+0+0+0+0+0+0+0+0+0+0+0+0+0+0+0+0+0+0+0+0+0+0+0+0+0+0+0+0+0+0+0+0+0+0+0+0+0+0+0+0+0+0+0+0+0+0+0)/1000</f>
        <v>0</v>
      </c>
      <c r="D54" s="30">
        <f>(42699+39491+52180+25301+299973+24951+17345+6085+5289+115654+81547+6154+10299+107742+58073+16427+19183+32486+51113+4636+19026+33217+50345+28848+26568+35686+5205+8727+8195+3368+63594+29404+88426+88300+1870+75064+43964+19053+66792+4425+35046+4099+90847+218693+8714+3995+42415+35153+18204+38192+5670+1324+175+1074+18977+0+1174+55316+0+0)/1000</f>
        <v>2295.7730000000001</v>
      </c>
      <c r="E54" s="30">
        <f>SUM(C54:D54)</f>
        <v>2295.7730000000001</v>
      </c>
      <c r="F54" s="30">
        <f>(40564+37516+49571+24036+284975+23703+16478+5781+5025+109871+77469+5847+9784+102355+55169+15606+18224+30862+48557+4404+18075+31556+47828+27406+25240+33902+4944+8291+7785+3200+60414+27934+84005+83885+1776+71311+41765+18100+63452+4203+33294+3894+86305+207759+8278+3795+40294+33395+17294+36282+5386+1258+166+1020+18028+0+1115+52550+0+0)/1000</f>
        <v>2180.982</v>
      </c>
    </row>
    <row r="55" spans="1:7" ht="15" customHeight="1" x14ac:dyDescent="0.2">
      <c r="A55" s="19" t="s">
        <v>106</v>
      </c>
      <c r="B55" s="20">
        <f>SUM(B5:B54)</f>
        <v>653920.80099999986</v>
      </c>
      <c r="C55" s="20">
        <f>SUM(C5:C54)</f>
        <v>18887.866999999998</v>
      </c>
      <c r="D55" s="20">
        <f>SUM(D5:D54)</f>
        <v>646698.6449999999</v>
      </c>
      <c r="E55" s="20">
        <f>SUM(E5:E54)</f>
        <v>665586.5120000001</v>
      </c>
      <c r="F55" s="20">
        <f>SUM(F5:F54)</f>
        <v>668664.5070000001</v>
      </c>
    </row>
  </sheetData>
  <mergeCells count="3">
    <mergeCell ref="A3:A4"/>
    <mergeCell ref="B3:B4"/>
    <mergeCell ref="F3:F4"/>
  </mergeCells>
  <pageMargins left="0.7" right="0.7" top="0.75" bottom="0.75" header="0.3" footer="0.3"/>
  <pageSetup scale="6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340</v>
      </c>
      <c r="B1" s="10"/>
      <c r="C1" s="10"/>
      <c r="D1" s="10"/>
      <c r="E1" s="10"/>
      <c r="F1" s="10"/>
      <c r="G1" s="12" t="s">
        <v>351</v>
      </c>
    </row>
    <row r="2" spans="1:7" x14ac:dyDescent="0.2">
      <c r="A2" s="13" t="s">
        <v>352</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58103</v>
      </c>
      <c r="C6" s="17">
        <v>1545</v>
      </c>
      <c r="D6" s="17">
        <v>59409</v>
      </c>
      <c r="E6" s="17">
        <v>60954</v>
      </c>
      <c r="F6" s="17">
        <v>0</v>
      </c>
      <c r="G6" s="18">
        <f>IF(AND(F65&lt;&gt;0,0&lt;&gt;0),IF(100*0/(F65-0)&lt;0.005,"*",100*0/(F65-0)),0)</f>
        <v>0</v>
      </c>
    </row>
    <row r="7" spans="1:7" x14ac:dyDescent="0.2">
      <c r="A7" s="11" t="s">
        <v>108</v>
      </c>
      <c r="B7" s="17">
        <v>2020</v>
      </c>
      <c r="C7" s="17">
        <v>35</v>
      </c>
      <c r="D7" s="17">
        <v>2061</v>
      </c>
      <c r="E7" s="17">
        <v>2096</v>
      </c>
      <c r="F7" s="17">
        <v>0</v>
      </c>
      <c r="G7" s="18">
        <f>IF(AND(F65&lt;&gt;0,0&lt;&gt;0),IF(100*0/(F65-0)&lt;0.005,"*",100*0/(F65-0)),0)</f>
        <v>0</v>
      </c>
    </row>
    <row r="8" spans="1:7" x14ac:dyDescent="0.2">
      <c r="A8" s="11" t="s">
        <v>109</v>
      </c>
      <c r="B8" s="17">
        <v>7505</v>
      </c>
      <c r="C8" s="17">
        <v>607</v>
      </c>
      <c r="D8" s="17">
        <v>8100</v>
      </c>
      <c r="E8" s="17">
        <v>8707</v>
      </c>
      <c r="F8" s="17">
        <v>0</v>
      </c>
      <c r="G8" s="18">
        <f>IF(AND(F65&lt;&gt;0,0&lt;&gt;0),IF(100*0/(F65-0)&lt;0.005,"*",100*0/(F65-0)),0)</f>
        <v>0</v>
      </c>
    </row>
    <row r="9" spans="1:7" x14ac:dyDescent="0.2">
      <c r="A9" s="11" t="s">
        <v>110</v>
      </c>
      <c r="B9" s="17">
        <v>17322</v>
      </c>
      <c r="C9" s="17">
        <v>4471</v>
      </c>
      <c r="D9" s="17">
        <v>22866</v>
      </c>
      <c r="E9" s="17">
        <v>27337</v>
      </c>
      <c r="F9" s="17">
        <v>0</v>
      </c>
      <c r="G9" s="18">
        <f>IF(AND(F65&lt;&gt;0,0&lt;&gt;0),IF(100*0/(F65-0)&lt;0.005,"*",100*0/(F65-0)),0)</f>
        <v>0</v>
      </c>
    </row>
    <row r="10" spans="1:7" x14ac:dyDescent="0.2">
      <c r="A10" s="11" t="s">
        <v>111</v>
      </c>
      <c r="B10" s="17">
        <v>63345</v>
      </c>
      <c r="C10" s="17">
        <v>6745</v>
      </c>
      <c r="D10" s="17">
        <v>62854</v>
      </c>
      <c r="E10" s="17">
        <v>69599</v>
      </c>
      <c r="F10" s="17">
        <v>0</v>
      </c>
      <c r="G10" s="18">
        <f>IF(AND(F65&lt;&gt;0,0&lt;&gt;0),IF(100*0/(F65-0)&lt;0.005,"*",100*0/(F65-0)),0)</f>
        <v>0</v>
      </c>
    </row>
    <row r="11" spans="1:7" x14ac:dyDescent="0.2">
      <c r="A11" s="11" t="s">
        <v>112</v>
      </c>
      <c r="B11" s="17">
        <v>11126</v>
      </c>
      <c r="C11" s="17">
        <v>1055</v>
      </c>
      <c r="D11" s="17">
        <v>11304</v>
      </c>
      <c r="E11" s="17">
        <v>12359</v>
      </c>
      <c r="F11" s="17">
        <v>0</v>
      </c>
      <c r="G11" s="18">
        <f>IF(AND(F65&lt;&gt;0,0&lt;&gt;0),IF(100*0/(F65-0)&lt;0.005,"*",100*0/(F65-0)),0)</f>
        <v>0</v>
      </c>
    </row>
    <row r="12" spans="1:7" x14ac:dyDescent="0.2">
      <c r="A12" s="11" t="s">
        <v>113</v>
      </c>
      <c r="B12" s="17">
        <v>24009</v>
      </c>
      <c r="C12" s="17">
        <v>1248</v>
      </c>
      <c r="D12" s="17">
        <v>24660</v>
      </c>
      <c r="E12" s="17">
        <v>25908</v>
      </c>
      <c r="F12" s="17">
        <v>0</v>
      </c>
      <c r="G12" s="18">
        <f>IF(AND(F65&lt;&gt;0,0&lt;&gt;0),IF(100*0/(F65-0)&lt;0.005,"*",100*0/(F65-0)),0)</f>
        <v>0</v>
      </c>
    </row>
    <row r="13" spans="1:7" x14ac:dyDescent="0.2">
      <c r="A13" s="11" t="s">
        <v>114</v>
      </c>
      <c r="B13" s="17">
        <v>4628</v>
      </c>
      <c r="C13" s="17">
        <v>72</v>
      </c>
      <c r="D13" s="17">
        <v>4355</v>
      </c>
      <c r="E13" s="17">
        <v>4427</v>
      </c>
      <c r="F13" s="17">
        <v>0</v>
      </c>
      <c r="G13" s="18">
        <f>IF(AND(F65&lt;&gt;0,0&lt;&gt;0),IF(100*0/(F65-0)&lt;0.005,"*",100*0/(F65-0)),0)</f>
        <v>0</v>
      </c>
    </row>
    <row r="14" spans="1:7" x14ac:dyDescent="0.2">
      <c r="A14" s="11" t="s">
        <v>115</v>
      </c>
      <c r="B14" s="17">
        <v>14117</v>
      </c>
      <c r="C14" s="17">
        <v>230</v>
      </c>
      <c r="D14" s="17">
        <v>14415</v>
      </c>
      <c r="E14" s="17">
        <v>14645</v>
      </c>
      <c r="F14" s="17">
        <v>0</v>
      </c>
      <c r="G14" s="18">
        <f>IF(AND(F65&lt;&gt;0,0&lt;&gt;0),IF(100*0/(F65-0)&lt;0.005,"*",100*0/(F65-0)),0)</f>
        <v>0</v>
      </c>
    </row>
    <row r="15" spans="1:7" x14ac:dyDescent="0.2">
      <c r="A15" s="11" t="s">
        <v>116</v>
      </c>
      <c r="B15" s="17">
        <v>49314</v>
      </c>
      <c r="C15" s="17">
        <v>1827</v>
      </c>
      <c r="D15" s="17">
        <v>49659</v>
      </c>
      <c r="E15" s="17">
        <v>51486</v>
      </c>
      <c r="F15" s="17">
        <v>0</v>
      </c>
      <c r="G15" s="18">
        <f>IF(AND(F65&lt;&gt;0,0&lt;&gt;0),IF(100*0/(F65-0)&lt;0.005,"*",100*0/(F65-0)),0)</f>
        <v>0</v>
      </c>
    </row>
    <row r="16" spans="1:7" x14ac:dyDescent="0.2">
      <c r="A16" s="11" t="s">
        <v>117</v>
      </c>
      <c r="B16" s="17">
        <v>59154</v>
      </c>
      <c r="C16" s="17">
        <v>1711</v>
      </c>
      <c r="D16" s="17">
        <v>59356</v>
      </c>
      <c r="E16" s="17">
        <v>61067</v>
      </c>
      <c r="F16" s="17">
        <v>0</v>
      </c>
      <c r="G16" s="18">
        <f>IF(AND(F65&lt;&gt;0,0&lt;&gt;0),IF(100*0/(F65-0)&lt;0.005,"*",100*0/(F65-0)),0)</f>
        <v>0</v>
      </c>
    </row>
    <row r="17" spans="1:7" x14ac:dyDescent="0.2">
      <c r="A17" s="11" t="s">
        <v>118</v>
      </c>
      <c r="B17" s="17">
        <v>9139</v>
      </c>
      <c r="C17" s="17">
        <v>429</v>
      </c>
      <c r="D17" s="17">
        <v>9330</v>
      </c>
      <c r="E17" s="17">
        <v>9759</v>
      </c>
      <c r="F17" s="17">
        <v>0</v>
      </c>
      <c r="G17" s="18">
        <f>IF(AND(F65&lt;&gt;0,0&lt;&gt;0),IF(100*0/(F65-0)&lt;0.005,"*",100*0/(F65-0)),0)</f>
        <v>0</v>
      </c>
    </row>
    <row r="18" spans="1:7" x14ac:dyDescent="0.2">
      <c r="A18" s="11" t="s">
        <v>119</v>
      </c>
      <c r="B18" s="17">
        <v>1305</v>
      </c>
      <c r="C18" s="17">
        <v>30</v>
      </c>
      <c r="D18" s="17">
        <v>1073</v>
      </c>
      <c r="E18" s="17">
        <v>1103</v>
      </c>
      <c r="F18" s="17">
        <v>0</v>
      </c>
      <c r="G18" s="18">
        <f>IF(AND(F65&lt;&gt;0,0&lt;&gt;0),IF(100*0/(F65-0)&lt;0.005,"*",100*0/(F65-0)),0)</f>
        <v>0</v>
      </c>
    </row>
    <row r="19" spans="1:7" x14ac:dyDescent="0.2">
      <c r="A19" s="11" t="s">
        <v>120</v>
      </c>
      <c r="B19" s="17">
        <v>110901</v>
      </c>
      <c r="C19" s="17">
        <v>5051</v>
      </c>
      <c r="D19" s="17">
        <v>108042</v>
      </c>
      <c r="E19" s="17">
        <v>113093</v>
      </c>
      <c r="F19" s="17">
        <v>0</v>
      </c>
      <c r="G19" s="18">
        <f>IF(AND(F65&lt;&gt;0,0&lt;&gt;0),IF(100*0/(F65-0)&lt;0.005,"*",100*0/(F65-0)),0)</f>
        <v>0</v>
      </c>
    </row>
    <row r="20" spans="1:7" x14ac:dyDescent="0.2">
      <c r="A20" s="11" t="s">
        <v>121</v>
      </c>
      <c r="B20" s="17">
        <v>23314</v>
      </c>
      <c r="C20" s="17">
        <v>5229</v>
      </c>
      <c r="D20" s="17">
        <v>27588</v>
      </c>
      <c r="E20" s="17">
        <v>32817</v>
      </c>
      <c r="F20" s="17">
        <v>0</v>
      </c>
      <c r="G20" s="18">
        <f>IF(AND(F65&lt;&gt;0,0&lt;&gt;0),IF(100*0/(F65-0)&lt;0.005,"*",100*0/(F65-0)),0)</f>
        <v>0</v>
      </c>
    </row>
    <row r="21" spans="1:7" x14ac:dyDescent="0.2">
      <c r="A21" s="11" t="s">
        <v>122</v>
      </c>
      <c r="B21" s="17">
        <v>6585</v>
      </c>
      <c r="C21" s="17">
        <v>689</v>
      </c>
      <c r="D21" s="17">
        <v>4877</v>
      </c>
      <c r="E21" s="17">
        <v>5566</v>
      </c>
      <c r="F21" s="17">
        <v>0</v>
      </c>
      <c r="G21" s="18">
        <f>IF(AND(F65&lt;&gt;0,0&lt;&gt;0),IF(100*0/(F65-0)&lt;0.005,"*",100*0/(F65-0)),0)</f>
        <v>0</v>
      </c>
    </row>
    <row r="22" spans="1:7" x14ac:dyDescent="0.2">
      <c r="A22" s="11" t="s">
        <v>123</v>
      </c>
      <c r="B22" s="17">
        <v>11359</v>
      </c>
      <c r="C22" s="17">
        <v>284</v>
      </c>
      <c r="D22" s="17">
        <v>11902</v>
      </c>
      <c r="E22" s="17">
        <v>12186</v>
      </c>
      <c r="F22" s="17">
        <v>0</v>
      </c>
      <c r="G22" s="18">
        <f>IF(AND(F65&lt;&gt;0,0&lt;&gt;0),IF(100*0/(F65-0)&lt;0.005,"*",100*0/(F65-0)),0)</f>
        <v>0</v>
      </c>
    </row>
    <row r="23" spans="1:7" x14ac:dyDescent="0.2">
      <c r="A23" s="11" t="s">
        <v>124</v>
      </c>
      <c r="B23" s="17">
        <v>33827</v>
      </c>
      <c r="C23" s="17">
        <v>4306</v>
      </c>
      <c r="D23" s="17">
        <v>31676</v>
      </c>
      <c r="E23" s="17">
        <v>35982</v>
      </c>
      <c r="F23" s="17">
        <v>0</v>
      </c>
      <c r="G23" s="18">
        <f>IF(AND(F65&lt;&gt;0,0&lt;&gt;0),IF(100*0/(F65-0)&lt;0.005,"*",100*0/(F65-0)),0)</f>
        <v>0</v>
      </c>
    </row>
    <row r="24" spans="1:7" x14ac:dyDescent="0.2">
      <c r="A24" s="11" t="s">
        <v>125</v>
      </c>
      <c r="B24" s="17">
        <v>37975</v>
      </c>
      <c r="C24" s="17">
        <v>3754</v>
      </c>
      <c r="D24" s="17">
        <v>35800</v>
      </c>
      <c r="E24" s="17">
        <v>39554</v>
      </c>
      <c r="F24" s="17">
        <v>0</v>
      </c>
      <c r="G24" s="18">
        <f>IF(AND(F65&lt;&gt;0,0&lt;&gt;0),IF(100*0/(F65-0)&lt;0.005,"*",100*0/(F65-0)),0)</f>
        <v>0</v>
      </c>
    </row>
    <row r="25" spans="1:7" x14ac:dyDescent="0.2">
      <c r="A25" s="11" t="s">
        <v>126</v>
      </c>
      <c r="B25" s="17">
        <v>6187</v>
      </c>
      <c r="C25" s="17">
        <v>716</v>
      </c>
      <c r="D25" s="17">
        <v>5923</v>
      </c>
      <c r="E25" s="17">
        <v>6639</v>
      </c>
      <c r="F25" s="17">
        <v>0</v>
      </c>
      <c r="G25" s="18">
        <f>IF(AND(F65&lt;&gt;0,0&lt;&gt;0),IF(100*0/(F65-0)&lt;0.005,"*",100*0/(F65-0)),0)</f>
        <v>0</v>
      </c>
    </row>
    <row r="26" spans="1:7" x14ac:dyDescent="0.2">
      <c r="A26" s="11" t="s">
        <v>127</v>
      </c>
      <c r="B26" s="17">
        <v>24213</v>
      </c>
      <c r="C26" s="17">
        <v>3526</v>
      </c>
      <c r="D26" s="17">
        <v>23701</v>
      </c>
      <c r="E26" s="17">
        <v>27227</v>
      </c>
      <c r="F26" s="17">
        <v>0</v>
      </c>
      <c r="G26" s="18">
        <f>IF(AND(F65&lt;&gt;0,0&lt;&gt;0),IF(100*0/(F65-0)&lt;0.005,"*",100*0/(F65-0)),0)</f>
        <v>0</v>
      </c>
    </row>
    <row r="27" spans="1:7" x14ac:dyDescent="0.2">
      <c r="A27" s="11" t="s">
        <v>128</v>
      </c>
      <c r="B27" s="17">
        <v>54610</v>
      </c>
      <c r="C27" s="17">
        <v>2302</v>
      </c>
      <c r="D27" s="17">
        <v>56361</v>
      </c>
      <c r="E27" s="17">
        <v>58663</v>
      </c>
      <c r="F27" s="17">
        <v>0</v>
      </c>
      <c r="G27" s="18">
        <f>IF(AND(F65&lt;&gt;0,0&lt;&gt;0),IF(100*0/(F65-0)&lt;0.005,"*",100*0/(F65-0)),0)</f>
        <v>0</v>
      </c>
    </row>
    <row r="28" spans="1:7" x14ac:dyDescent="0.2">
      <c r="A28" s="11" t="s">
        <v>129</v>
      </c>
      <c r="B28" s="17">
        <v>31837</v>
      </c>
      <c r="C28" s="17">
        <v>851</v>
      </c>
      <c r="D28" s="17">
        <v>32796</v>
      </c>
      <c r="E28" s="17">
        <v>33647</v>
      </c>
      <c r="F28" s="17">
        <v>0</v>
      </c>
      <c r="G28" s="18">
        <f>IF(AND(F65&lt;&gt;0,0&lt;&gt;0),IF(100*0/(F65-0)&lt;0.005,"*",100*0/(F65-0)),0)</f>
        <v>0</v>
      </c>
    </row>
    <row r="29" spans="1:7" x14ac:dyDescent="0.2">
      <c r="A29" s="11" t="s">
        <v>130</v>
      </c>
      <c r="B29" s="17">
        <v>29815</v>
      </c>
      <c r="C29" s="17">
        <v>1585</v>
      </c>
      <c r="D29" s="17">
        <v>31255</v>
      </c>
      <c r="E29" s="17">
        <v>32840</v>
      </c>
      <c r="F29" s="17">
        <v>0</v>
      </c>
      <c r="G29" s="18">
        <f>IF(AND(F65&lt;&gt;0,0&lt;&gt;0),IF(100*0/(F65-0)&lt;0.005,"*",100*0/(F65-0)),0)</f>
        <v>0</v>
      </c>
    </row>
    <row r="30" spans="1:7" x14ac:dyDescent="0.2">
      <c r="A30" s="11" t="s">
        <v>131</v>
      </c>
      <c r="B30" s="17">
        <v>16375</v>
      </c>
      <c r="C30" s="17">
        <v>308</v>
      </c>
      <c r="D30" s="17">
        <v>16437</v>
      </c>
      <c r="E30" s="17">
        <v>16745</v>
      </c>
      <c r="F30" s="17">
        <v>0</v>
      </c>
      <c r="G30" s="18">
        <f>IF(AND(F65&lt;&gt;0,0&lt;&gt;0),IF(100*0/(F65-0)&lt;0.005,"*",100*0/(F65-0)),0)</f>
        <v>0</v>
      </c>
    </row>
    <row r="31" spans="1:7" x14ac:dyDescent="0.2">
      <c r="A31" s="11" t="s">
        <v>132</v>
      </c>
      <c r="B31" s="17">
        <v>27119</v>
      </c>
      <c r="C31" s="17">
        <v>544</v>
      </c>
      <c r="D31" s="17">
        <v>27661</v>
      </c>
      <c r="E31" s="17">
        <v>28205</v>
      </c>
      <c r="F31" s="17">
        <v>0</v>
      </c>
      <c r="G31" s="18">
        <f>IF(AND(F65&lt;&gt;0,0&lt;&gt;0),IF(100*0/(F65-0)&lt;0.005,"*",100*0/(F65-0)),0)</f>
        <v>0</v>
      </c>
    </row>
    <row r="32" spans="1:7" x14ac:dyDescent="0.2">
      <c r="A32" s="11" t="s">
        <v>133</v>
      </c>
      <c r="B32" s="17">
        <v>2721</v>
      </c>
      <c r="C32" s="17">
        <v>300</v>
      </c>
      <c r="D32" s="17">
        <v>2772</v>
      </c>
      <c r="E32" s="17">
        <v>3072</v>
      </c>
      <c r="F32" s="17">
        <v>0</v>
      </c>
      <c r="G32" s="18">
        <f>IF(AND(F65&lt;&gt;0,0&lt;&gt;0),IF(100*0/(F65-0)&lt;0.005,"*",100*0/(F65-0)),0)</f>
        <v>0</v>
      </c>
    </row>
    <row r="33" spans="1:7" x14ac:dyDescent="0.2">
      <c r="A33" s="11" t="s">
        <v>134</v>
      </c>
      <c r="B33" s="17">
        <v>9979</v>
      </c>
      <c r="C33" s="17">
        <v>241</v>
      </c>
      <c r="D33" s="17">
        <v>9184</v>
      </c>
      <c r="E33" s="17">
        <v>9425</v>
      </c>
      <c r="F33" s="17">
        <v>0</v>
      </c>
      <c r="G33" s="18">
        <f>IF(AND(F65&lt;&gt;0,0&lt;&gt;0),IF(100*0/(F65-0)&lt;0.005,"*",100*0/(F65-0)),0)</f>
        <v>0</v>
      </c>
    </row>
    <row r="34" spans="1:7" x14ac:dyDescent="0.2">
      <c r="A34" s="11" t="s">
        <v>135</v>
      </c>
      <c r="B34" s="17">
        <v>4076</v>
      </c>
      <c r="C34" s="17">
        <v>69</v>
      </c>
      <c r="D34" s="17">
        <v>5058</v>
      </c>
      <c r="E34" s="17">
        <v>5127</v>
      </c>
      <c r="F34" s="17">
        <v>0</v>
      </c>
      <c r="G34" s="18">
        <f>IF(AND(F65&lt;&gt;0,0&lt;&gt;0),IF(100*0/(F65-0)&lt;0.005,"*",100*0/(F65-0)),0)</f>
        <v>0</v>
      </c>
    </row>
    <row r="35" spans="1:7" x14ac:dyDescent="0.2">
      <c r="A35" s="11" t="s">
        <v>136</v>
      </c>
      <c r="B35" s="17">
        <v>5172</v>
      </c>
      <c r="C35" s="17">
        <v>102</v>
      </c>
      <c r="D35" s="17">
        <v>5630</v>
      </c>
      <c r="E35" s="17">
        <v>5732</v>
      </c>
      <c r="F35" s="17">
        <v>0</v>
      </c>
      <c r="G35" s="18">
        <f>IF(AND(F65&lt;&gt;0,0&lt;&gt;0),IF(100*0/(F65-0)&lt;0.005,"*",100*0/(F65-0)),0)</f>
        <v>0</v>
      </c>
    </row>
    <row r="36" spans="1:7" x14ac:dyDescent="0.2">
      <c r="A36" s="11" t="s">
        <v>137</v>
      </c>
      <c r="B36" s="17">
        <v>64748</v>
      </c>
      <c r="C36" s="17">
        <v>2983</v>
      </c>
      <c r="D36" s="17">
        <v>66580</v>
      </c>
      <c r="E36" s="17">
        <v>69563</v>
      </c>
      <c r="F36" s="17">
        <v>0</v>
      </c>
      <c r="G36" s="18">
        <f>IF(AND(F65&lt;&gt;0,0&lt;&gt;0),IF(100*0/(F65-0)&lt;0.005,"*",100*0/(F65-0)),0)</f>
        <v>0</v>
      </c>
    </row>
    <row r="37" spans="1:7" x14ac:dyDescent="0.2">
      <c r="A37" s="11" t="s">
        <v>138</v>
      </c>
      <c r="B37" s="17">
        <v>5922</v>
      </c>
      <c r="C37" s="17">
        <v>404</v>
      </c>
      <c r="D37" s="17">
        <v>6028</v>
      </c>
      <c r="E37" s="17">
        <v>6432</v>
      </c>
      <c r="F37" s="17">
        <v>0</v>
      </c>
      <c r="G37" s="18">
        <f>IF(AND(F65&lt;&gt;0,0&lt;&gt;0),IF(100*0/(F65-0)&lt;0.005,"*",100*0/(F65-0)),0)</f>
        <v>0</v>
      </c>
    </row>
    <row r="38" spans="1:7" x14ac:dyDescent="0.2">
      <c r="A38" s="11" t="s">
        <v>139</v>
      </c>
      <c r="B38" s="17">
        <v>395487</v>
      </c>
      <c r="C38" s="17">
        <v>12396</v>
      </c>
      <c r="D38" s="17">
        <v>402662</v>
      </c>
      <c r="E38" s="17">
        <v>415058</v>
      </c>
      <c r="F38" s="17">
        <v>0</v>
      </c>
      <c r="G38" s="18">
        <f>IF(AND(F65&lt;&gt;0,0&lt;&gt;0),IF(100*0/(F65-0)&lt;0.005,"*",100*0/(F65-0)),0)</f>
        <v>0</v>
      </c>
    </row>
    <row r="39" spans="1:7" x14ac:dyDescent="0.2">
      <c r="A39" s="11" t="s">
        <v>140</v>
      </c>
      <c r="B39" s="17">
        <v>46431</v>
      </c>
      <c r="C39" s="17">
        <v>2177</v>
      </c>
      <c r="D39" s="17">
        <v>47929</v>
      </c>
      <c r="E39" s="17">
        <v>50106</v>
      </c>
      <c r="F39" s="17">
        <v>0</v>
      </c>
      <c r="G39" s="18">
        <f>IF(AND(F65&lt;&gt;0,0&lt;&gt;0),IF(100*0/(F65-0)&lt;0.005,"*",100*0/(F65-0)),0)</f>
        <v>0</v>
      </c>
    </row>
    <row r="40" spans="1:7" x14ac:dyDescent="0.2">
      <c r="A40" s="11" t="s">
        <v>141</v>
      </c>
      <c r="B40" s="17">
        <v>2773</v>
      </c>
      <c r="C40" s="17">
        <v>347</v>
      </c>
      <c r="D40" s="17">
        <v>2384</v>
      </c>
      <c r="E40" s="17">
        <v>2731</v>
      </c>
      <c r="F40" s="17">
        <v>0</v>
      </c>
      <c r="G40" s="18">
        <f>IF(AND(F65&lt;&gt;0,0&lt;&gt;0),IF(100*0/(F65-0)&lt;0.005,"*",100*0/(F65-0)),0)</f>
        <v>0</v>
      </c>
    </row>
    <row r="41" spans="1:7" x14ac:dyDescent="0.2">
      <c r="A41" s="11" t="s">
        <v>142</v>
      </c>
      <c r="B41" s="17">
        <v>71379</v>
      </c>
      <c r="C41" s="17">
        <v>4110</v>
      </c>
      <c r="D41" s="17">
        <v>71914</v>
      </c>
      <c r="E41" s="17">
        <v>76024</v>
      </c>
      <c r="F41" s="17">
        <v>0</v>
      </c>
      <c r="G41" s="18">
        <f>IF(AND(F65&lt;&gt;0,0&lt;&gt;0),IF(100*0/(F65-0)&lt;0.005,"*",100*0/(F65-0)),0)</f>
        <v>0</v>
      </c>
    </row>
    <row r="42" spans="1:7" x14ac:dyDescent="0.2">
      <c r="A42" s="11" t="s">
        <v>143</v>
      </c>
      <c r="B42" s="17">
        <v>15918</v>
      </c>
      <c r="C42" s="17">
        <v>880</v>
      </c>
      <c r="D42" s="17">
        <v>16363</v>
      </c>
      <c r="E42" s="17">
        <v>17243</v>
      </c>
      <c r="F42" s="17">
        <v>0</v>
      </c>
      <c r="G42" s="18">
        <f>IF(AND(F65&lt;&gt;0,0&lt;&gt;0),IF(100*0/(F65-0)&lt;0.005,"*",100*0/(F65-0)),0)</f>
        <v>0</v>
      </c>
    </row>
    <row r="43" spans="1:7" x14ac:dyDescent="0.2">
      <c r="A43" s="11" t="s">
        <v>144</v>
      </c>
      <c r="B43" s="17">
        <v>8760</v>
      </c>
      <c r="C43" s="17">
        <v>966</v>
      </c>
      <c r="D43" s="17">
        <v>8682</v>
      </c>
      <c r="E43" s="17">
        <v>9648</v>
      </c>
      <c r="F43" s="17">
        <v>0</v>
      </c>
      <c r="G43" s="18">
        <f>IF(AND(F65&lt;&gt;0,0&lt;&gt;0),IF(100*0/(F65-0)&lt;0.005,"*",100*0/(F65-0)),0)</f>
        <v>0</v>
      </c>
    </row>
    <row r="44" spans="1:7" x14ac:dyDescent="0.2">
      <c r="A44" s="11" t="s">
        <v>145</v>
      </c>
      <c r="B44" s="17">
        <v>115255</v>
      </c>
      <c r="C44" s="17">
        <v>6447</v>
      </c>
      <c r="D44" s="17">
        <v>112867</v>
      </c>
      <c r="E44" s="17">
        <v>119314</v>
      </c>
      <c r="F44" s="17">
        <v>0</v>
      </c>
      <c r="G44" s="18">
        <f>IF(AND(F65&lt;&gt;0,0&lt;&gt;0),IF(100*0/(F65-0)&lt;0.005,"*",100*0/(F65-0)),0)</f>
        <v>0</v>
      </c>
    </row>
    <row r="45" spans="1:7" x14ac:dyDescent="0.2">
      <c r="A45" s="11" t="s">
        <v>146</v>
      </c>
      <c r="B45" s="17">
        <v>13761</v>
      </c>
      <c r="C45" s="17">
        <v>1276</v>
      </c>
      <c r="D45" s="17">
        <v>13951</v>
      </c>
      <c r="E45" s="17">
        <v>15227</v>
      </c>
      <c r="F45" s="17">
        <v>0</v>
      </c>
      <c r="G45" s="18">
        <f>IF(AND(F65&lt;&gt;0,0&lt;&gt;0),IF(100*0/(F65-0)&lt;0.005,"*",100*0/(F65-0)),0)</f>
        <v>0</v>
      </c>
    </row>
    <row r="46" spans="1:7" x14ac:dyDescent="0.2">
      <c r="A46" s="11" t="s">
        <v>147</v>
      </c>
      <c r="B46" s="17">
        <v>26002</v>
      </c>
      <c r="C46" s="17">
        <v>1057</v>
      </c>
      <c r="D46" s="17">
        <v>22051</v>
      </c>
      <c r="E46" s="17">
        <v>23108</v>
      </c>
      <c r="F46" s="17">
        <v>0</v>
      </c>
      <c r="G46" s="18">
        <f>IF(AND(F65&lt;&gt;0,0&lt;&gt;0),IF(100*0/(F65-0)&lt;0.005,"*",100*0/(F65-0)),0)</f>
        <v>0</v>
      </c>
    </row>
    <row r="47" spans="1:7" x14ac:dyDescent="0.2">
      <c r="A47" s="11" t="s">
        <v>148</v>
      </c>
      <c r="B47" s="17">
        <v>2281</v>
      </c>
      <c r="C47" s="17">
        <v>850</v>
      </c>
      <c r="D47" s="17">
        <v>2730</v>
      </c>
      <c r="E47" s="17">
        <v>3580</v>
      </c>
      <c r="F47" s="17">
        <v>0</v>
      </c>
      <c r="G47" s="18">
        <f>IF(AND(F65&lt;&gt;0,0&lt;&gt;0),IF(100*0/(F65-0)&lt;0.005,"*",100*0/(F65-0)),0)</f>
        <v>0</v>
      </c>
    </row>
    <row r="48" spans="1:7" x14ac:dyDescent="0.2">
      <c r="A48" s="11" t="s">
        <v>149</v>
      </c>
      <c r="B48" s="17">
        <v>52415</v>
      </c>
      <c r="C48" s="17">
        <v>6519</v>
      </c>
      <c r="D48" s="17">
        <v>55271</v>
      </c>
      <c r="E48" s="17">
        <v>61790</v>
      </c>
      <c r="F48" s="17">
        <v>0</v>
      </c>
      <c r="G48" s="18">
        <f>IF(AND(F65&lt;&gt;0,0&lt;&gt;0),IF(100*0/(F65-0)&lt;0.005,"*",100*0/(F65-0)),0)</f>
        <v>0</v>
      </c>
    </row>
    <row r="49" spans="1:7" x14ac:dyDescent="0.2">
      <c r="A49" s="11" t="s">
        <v>150</v>
      </c>
      <c r="B49" s="17">
        <v>73562</v>
      </c>
      <c r="C49" s="17">
        <v>2799</v>
      </c>
      <c r="D49" s="17">
        <v>74327</v>
      </c>
      <c r="E49" s="17">
        <v>77126</v>
      </c>
      <c r="F49" s="17">
        <v>0</v>
      </c>
      <c r="G49" s="18">
        <f>IF(AND(F65&lt;&gt;0,0&lt;&gt;0),IF(100*0/(F65-0)&lt;0.005,"*",100*0/(F65-0)),0)</f>
        <v>0</v>
      </c>
    </row>
    <row r="50" spans="1:7" x14ac:dyDescent="0.2">
      <c r="A50" s="11" t="s">
        <v>151</v>
      </c>
      <c r="B50" s="17">
        <v>2688</v>
      </c>
      <c r="C50" s="17">
        <v>61</v>
      </c>
      <c r="D50" s="17">
        <v>2971</v>
      </c>
      <c r="E50" s="17">
        <v>3032</v>
      </c>
      <c r="F50" s="17">
        <v>0</v>
      </c>
      <c r="G50" s="18">
        <f>IF(AND(F65&lt;&gt;0,0&lt;&gt;0),IF(100*0/(F65-0)&lt;0.005,"*",100*0/(F65-0)),0)</f>
        <v>0</v>
      </c>
    </row>
    <row r="51" spans="1:7" x14ac:dyDescent="0.2">
      <c r="A51" s="11" t="s">
        <v>152</v>
      </c>
      <c r="B51" s="17">
        <v>1906</v>
      </c>
      <c r="C51" s="17">
        <v>35</v>
      </c>
      <c r="D51" s="17">
        <v>1927</v>
      </c>
      <c r="E51" s="17">
        <v>1962</v>
      </c>
      <c r="F51" s="17">
        <v>0</v>
      </c>
      <c r="G51" s="18">
        <f>IF(AND(F65&lt;&gt;0,0&lt;&gt;0),IF(100*0/(F65-0)&lt;0.005,"*",100*0/(F65-0)),0)</f>
        <v>0</v>
      </c>
    </row>
    <row r="52" spans="1:7" x14ac:dyDescent="0.2">
      <c r="A52" s="11" t="s">
        <v>153</v>
      </c>
      <c r="B52" s="17">
        <v>31398</v>
      </c>
      <c r="C52" s="17">
        <v>1533</v>
      </c>
      <c r="D52" s="17">
        <v>32113</v>
      </c>
      <c r="E52" s="17">
        <v>33646</v>
      </c>
      <c r="F52" s="17">
        <v>0</v>
      </c>
      <c r="G52" s="18">
        <f>IF(AND(F65&lt;&gt;0,0&lt;&gt;0),IF(100*0/(F65-0)&lt;0.005,"*",100*0/(F65-0)),0)</f>
        <v>0</v>
      </c>
    </row>
    <row r="53" spans="1:7" x14ac:dyDescent="0.2">
      <c r="A53" s="11" t="s">
        <v>154</v>
      </c>
      <c r="B53" s="17">
        <v>23222</v>
      </c>
      <c r="C53" s="17">
        <v>954</v>
      </c>
      <c r="D53" s="17">
        <v>23907</v>
      </c>
      <c r="E53" s="17">
        <v>24861</v>
      </c>
      <c r="F53" s="17">
        <v>0</v>
      </c>
      <c r="G53" s="18">
        <f>IF(AND(F65&lt;&gt;0,0&lt;&gt;0),IF(100*0/(F65-0)&lt;0.005,"*",100*0/(F65-0)),0)</f>
        <v>0</v>
      </c>
    </row>
    <row r="54" spans="1:7" x14ac:dyDescent="0.2">
      <c r="A54" s="11" t="s">
        <v>155</v>
      </c>
      <c r="B54" s="17">
        <v>8431</v>
      </c>
      <c r="C54" s="17">
        <v>844</v>
      </c>
      <c r="D54" s="17">
        <v>8592</v>
      </c>
      <c r="E54" s="17">
        <v>9436</v>
      </c>
      <c r="F54" s="17">
        <v>0</v>
      </c>
      <c r="G54" s="18">
        <f>IF(AND(F65&lt;&gt;0,0&lt;&gt;0),IF(100*0/(F65-0)&lt;0.005,"*",100*0/(F65-0)),0)</f>
        <v>0</v>
      </c>
    </row>
    <row r="55" spans="1:7" x14ac:dyDescent="0.2">
      <c r="A55" s="11" t="s">
        <v>156</v>
      </c>
      <c r="B55" s="17">
        <v>18191</v>
      </c>
      <c r="C55" s="17">
        <v>1068</v>
      </c>
      <c r="D55" s="17">
        <v>18605</v>
      </c>
      <c r="E55" s="17">
        <v>19673</v>
      </c>
      <c r="F55" s="17">
        <v>0</v>
      </c>
      <c r="G55" s="18">
        <f>IF(AND(F65&lt;&gt;0,0&lt;&gt;0),IF(100*0/(F65-0)&lt;0.005,"*",100*0/(F65-0)),0)</f>
        <v>0</v>
      </c>
    </row>
    <row r="56" spans="1:7" x14ac:dyDescent="0.2">
      <c r="A56" s="11" t="s">
        <v>157</v>
      </c>
      <c r="B56" s="17">
        <v>976</v>
      </c>
      <c r="C56" s="17">
        <v>23</v>
      </c>
      <c r="D56" s="17">
        <v>992</v>
      </c>
      <c r="E56" s="17">
        <v>1015</v>
      </c>
      <c r="F56" s="17">
        <v>0</v>
      </c>
      <c r="G56" s="18">
        <f>IF(AND(F65&lt;&gt;0,0&lt;&gt;0),IF(100*0/(F65-0)&lt;0.005,"*",100*0/(F65-0)),0)</f>
        <v>0</v>
      </c>
    </row>
    <row r="57" spans="1:7" x14ac:dyDescent="0.2">
      <c r="A57" s="11" t="s">
        <v>158</v>
      </c>
      <c r="B57" s="17">
        <v>0</v>
      </c>
      <c r="C57" s="17">
        <v>0</v>
      </c>
      <c r="D57" s="17">
        <v>0</v>
      </c>
      <c r="E57" s="17">
        <v>0</v>
      </c>
      <c r="F57" s="17">
        <v>0</v>
      </c>
      <c r="G57" s="18">
        <f>IF(AND(F65&lt;&gt;0,0&lt;&gt;0),IF(100*0/(F65-0)&lt;0.005,"*",100*0/(F65-0)),0)</f>
        <v>0</v>
      </c>
    </row>
    <row r="58" spans="1:7" x14ac:dyDescent="0.2">
      <c r="A58" s="11" t="s">
        <v>159</v>
      </c>
      <c r="B58" s="17">
        <v>1574</v>
      </c>
      <c r="C58" s="17">
        <v>24</v>
      </c>
      <c r="D58" s="17">
        <v>1418</v>
      </c>
      <c r="E58" s="17">
        <v>1442</v>
      </c>
      <c r="F58" s="17">
        <v>0</v>
      </c>
      <c r="G58" s="18">
        <f>IF(AND(F65&lt;&gt;0,0&lt;&gt;0),IF(100*0/(F65-0)&lt;0.005,"*",100*0/(F65-0)),0)</f>
        <v>0</v>
      </c>
    </row>
    <row r="59" spans="1:7" x14ac:dyDescent="0.2">
      <c r="A59" s="11" t="s">
        <v>160</v>
      </c>
      <c r="B59" s="17">
        <v>3</v>
      </c>
      <c r="C59" s="17">
        <v>1</v>
      </c>
      <c r="D59" s="17">
        <v>3</v>
      </c>
      <c r="E59" s="17">
        <v>4</v>
      </c>
      <c r="F59" s="17">
        <v>0</v>
      </c>
      <c r="G59" s="18">
        <f>IF(AND(F65&lt;&gt;0,0&lt;&gt;0),IF(100*0/(F65-0)&lt;0.005,"*",100*0/(F65-0)),0)</f>
        <v>0</v>
      </c>
    </row>
    <row r="60" spans="1:7" x14ac:dyDescent="0.2">
      <c r="A60" s="11" t="s">
        <v>161</v>
      </c>
      <c r="B60" s="17">
        <v>104009</v>
      </c>
      <c r="C60" s="17">
        <v>1753</v>
      </c>
      <c r="D60" s="17">
        <v>106169</v>
      </c>
      <c r="E60" s="17">
        <v>107922</v>
      </c>
      <c r="F60" s="17">
        <v>0</v>
      </c>
      <c r="G60" s="18">
        <f>IF(AND(F65&lt;&gt;0,0&lt;&gt;0),IF(100*0/(F65-0)&lt;0.005,"*",100*0/(F65-0)),0)</f>
        <v>0</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6136</v>
      </c>
      <c r="C62" s="17">
        <v>101</v>
      </c>
      <c r="D62" s="17">
        <v>6265</v>
      </c>
      <c r="E62" s="17">
        <v>6366</v>
      </c>
      <c r="F62" s="17">
        <v>0</v>
      </c>
      <c r="G62" s="18">
        <f>IF(AND(F65&lt;&gt;0,0&lt;&gt;0),IF(100*0/(F65-0)&lt;0.005,"*",100*0/(F65-0)),0)</f>
        <v>0</v>
      </c>
    </row>
    <row r="63" spans="1:7" x14ac:dyDescent="0.2">
      <c r="A63" s="11" t="s">
        <v>164</v>
      </c>
      <c r="B63" s="17">
        <v>1964</v>
      </c>
      <c r="C63" s="17">
        <v>1283</v>
      </c>
      <c r="D63" s="17">
        <v>2058</v>
      </c>
      <c r="E63" s="17">
        <v>3341</v>
      </c>
      <c r="F63" s="17">
        <v>0</v>
      </c>
      <c r="G63" s="18">
        <f>IF(AND(F65&lt;&gt;0,0&lt;&gt;0),IF(100*0/(F65-0)&lt;0.005,"*",100*0/(F65-0)),0)</f>
        <v>0</v>
      </c>
    </row>
    <row r="64" spans="1:7" x14ac:dyDescent="0.2">
      <c r="A64" s="11" t="s">
        <v>165</v>
      </c>
      <c r="B64" s="17">
        <v>615</v>
      </c>
      <c r="C64" s="17">
        <v>32987</v>
      </c>
      <c r="D64" s="17">
        <v>20427</v>
      </c>
      <c r="E64" s="17">
        <v>53414</v>
      </c>
      <c r="F64" s="17">
        <v>0</v>
      </c>
      <c r="G64" s="18">
        <v>0</v>
      </c>
    </row>
    <row r="65" spans="1:7" ht="15" customHeight="1" x14ac:dyDescent="0.2">
      <c r="A65" s="19" t="s">
        <v>106</v>
      </c>
      <c r="B65" s="20">
        <f>58103+2020+7505+17322+63345+11126+24009+4628+14117+49314+59154+9139+1305+110901+23314+6585+11359+33827+37975+6187+24213+54610+31837+29815+16375+27119+2721+9979+4076+5172+64748+5922+395487+46431+2773+71379+15918+8760+115255+13761+26002+2281+52415+73562+2688+1906+31398+23222+8431+18191+976+0+1574+3+104009+0+6136+1964+615+0</f>
        <v>1852959</v>
      </c>
      <c r="C65" s="20">
        <f>1545+35+607+4471+6745+1055+1248+72+230+1827+1711+429+30+5051+5229+689+284+4306+3754+716+3526+2302+851+1585+308+544+300+241+69+102+2983+404+12396+2177+347+4110+880+966+6447+1276+1057+850+6519+2799+61+35+1533+954+844+1068+23+0+24+1+1753+0+101+1283+32987+0</f>
        <v>133740</v>
      </c>
      <c r="D65" s="20">
        <f>59409+2061+8100+22866+62854+11304+24660+4355+14415+49659+59356+9330+1073+108042+27588+4877+11902+31676+35800+5923+23701+56361+32796+31255+16437+27661+2772+9184+5058+5630+66580+6028+402662+47929+2384+71914+16363+8682+112867+13951+22051+2730+55271+74327+2971+1927+32113+23907+8592+18605+992+0+1418+3+106169+0+6265+2058+20427+0</f>
        <v>1895291</v>
      </c>
      <c r="E65" s="20">
        <f>SUM(C65:D65)</f>
        <v>2029031</v>
      </c>
      <c r="F65" s="20">
        <f>0+0+0+0+0+0+0+0+0+0+0+0+0+0+0+0+0+0+0+0+0+0+0+0+0+0+0+0+0+0+0+0+0+0+0+0+0+0+0+0+0+0+0+0+0+0+0+0+0+0+0+0+0+0+0+0+0+0+0+0</f>
        <v>0</v>
      </c>
      <c r="G65" s="22" t="s">
        <v>180</v>
      </c>
    </row>
  </sheetData>
  <mergeCells count="4">
    <mergeCell ref="A4:A5"/>
    <mergeCell ref="B4:B5"/>
    <mergeCell ref="F4:F5"/>
    <mergeCell ref="G4:G5"/>
  </mergeCells>
  <pageMargins left="0.7" right="0.7" top="0.75" bottom="0.75" header="0.3" footer="0.3"/>
  <pageSetup scale="8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353</v>
      </c>
      <c r="B1" s="10"/>
      <c r="C1" s="10"/>
      <c r="D1" s="10"/>
      <c r="E1" s="10"/>
      <c r="F1" s="10"/>
      <c r="G1" s="12" t="s">
        <v>354</v>
      </c>
    </row>
    <row r="2" spans="1:7" x14ac:dyDescent="0.2">
      <c r="A2" s="13" t="s">
        <v>355</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38886</v>
      </c>
      <c r="C6" s="17">
        <v>27202</v>
      </c>
      <c r="D6" s="17">
        <v>22086</v>
      </c>
      <c r="E6" s="17">
        <v>49288</v>
      </c>
      <c r="F6" s="17">
        <v>8596</v>
      </c>
      <c r="G6" s="18">
        <f>IF(AND(F65&lt;&gt;0,8596&lt;&gt;0),IF(100*8596/(F65-0)&lt;0.005,"*",100*8596/(F65-0)),0)</f>
        <v>0.46140633387010199</v>
      </c>
    </row>
    <row r="7" spans="1:7" x14ac:dyDescent="0.2">
      <c r="A7" s="11" t="s">
        <v>108</v>
      </c>
      <c r="B7" s="17">
        <v>1613</v>
      </c>
      <c r="C7" s="17">
        <v>2629</v>
      </c>
      <c r="D7" s="17">
        <v>2753</v>
      </c>
      <c r="E7" s="17">
        <v>5382</v>
      </c>
      <c r="F7" s="17">
        <v>0</v>
      </c>
      <c r="G7" s="18">
        <f>IF(AND(F65&lt;&gt;0,0&lt;&gt;0),IF(100*0/(F65-0)&lt;0.005,"*",100*0/(F65-0)),0)</f>
        <v>0</v>
      </c>
    </row>
    <row r="8" spans="1:7" x14ac:dyDescent="0.2">
      <c r="A8" s="11" t="s">
        <v>109</v>
      </c>
      <c r="B8" s="17">
        <v>21283</v>
      </c>
      <c r="C8" s="17">
        <v>34149</v>
      </c>
      <c r="D8" s="17">
        <v>10292</v>
      </c>
      <c r="E8" s="17">
        <v>44441</v>
      </c>
      <c r="F8" s="17">
        <v>51287</v>
      </c>
      <c r="G8" s="18">
        <f>IF(AND(F65&lt;&gt;0,51287&lt;&gt;0),IF(100*51287/(F65-0)&lt;0.005,"*",100*51287/(F65-0)),0)</f>
        <v>2.7529253891572734</v>
      </c>
    </row>
    <row r="9" spans="1:7" x14ac:dyDescent="0.2">
      <c r="A9" s="11" t="s">
        <v>110</v>
      </c>
      <c r="B9" s="17">
        <v>6597</v>
      </c>
      <c r="C9" s="17">
        <v>16721</v>
      </c>
      <c r="D9" s="17">
        <v>14443</v>
      </c>
      <c r="E9" s="17">
        <v>31164</v>
      </c>
      <c r="F9" s="17">
        <v>1162</v>
      </c>
      <c r="G9" s="18">
        <f>IF(AND(F65&lt;&gt;0,1162&lt;&gt;0),IF(100*1162/(F65-0)&lt;0.005,"*",100*1162/(F65-0)),0)</f>
        <v>6.2372517444981214E-2</v>
      </c>
    </row>
    <row r="10" spans="1:7" x14ac:dyDescent="0.2">
      <c r="A10" s="11" t="s">
        <v>111</v>
      </c>
      <c r="B10" s="17">
        <v>276258</v>
      </c>
      <c r="C10" s="17">
        <v>222816</v>
      </c>
      <c r="D10" s="17">
        <v>88167</v>
      </c>
      <c r="E10" s="17">
        <v>310983</v>
      </c>
      <c r="F10" s="17">
        <v>289636</v>
      </c>
      <c r="G10" s="18">
        <f>IF(AND(F65&lt;&gt;0,289636&lt;&gt;0),IF(100*289636/(F65-0)&lt;0.005,"*",100*289636/(F65-0)),0)</f>
        <v>15.546752549651101</v>
      </c>
    </row>
    <row r="11" spans="1:7" x14ac:dyDescent="0.2">
      <c r="A11" s="11" t="s">
        <v>112</v>
      </c>
      <c r="B11" s="17">
        <v>36067</v>
      </c>
      <c r="C11" s="17">
        <v>5142</v>
      </c>
      <c r="D11" s="17">
        <v>18891</v>
      </c>
      <c r="E11" s="17">
        <v>24033</v>
      </c>
      <c r="F11" s="17">
        <v>7722</v>
      </c>
      <c r="G11" s="18">
        <f>IF(AND(F65&lt;&gt;0,7722&lt;&gt;0),IF(100*7722/(F65-0)&lt;0.005,"*",100*7722/(F65-0)),0)</f>
        <v>0.41449275362318838</v>
      </c>
    </row>
    <row r="12" spans="1:7" x14ac:dyDescent="0.2">
      <c r="A12" s="11" t="s">
        <v>113</v>
      </c>
      <c r="B12" s="17">
        <v>38416</v>
      </c>
      <c r="C12" s="17">
        <v>9699</v>
      </c>
      <c r="D12" s="17">
        <v>16795</v>
      </c>
      <c r="E12" s="17">
        <v>26494</v>
      </c>
      <c r="F12" s="17">
        <v>14567</v>
      </c>
      <c r="G12" s="18">
        <f>IF(AND(F65&lt;&gt;0,14567&lt;&gt;0),IF(100*14567/(F65-0)&lt;0.005,"*",100*14567/(F65-0)),0)</f>
        <v>0.78191089640365008</v>
      </c>
    </row>
    <row r="13" spans="1:7" x14ac:dyDescent="0.2">
      <c r="A13" s="11" t="s">
        <v>114</v>
      </c>
      <c r="B13" s="17">
        <v>230</v>
      </c>
      <c r="C13" s="17">
        <v>6127</v>
      </c>
      <c r="D13" s="17">
        <v>1458</v>
      </c>
      <c r="E13" s="17">
        <v>7585</v>
      </c>
      <c r="F13" s="17">
        <v>6175</v>
      </c>
      <c r="G13" s="18">
        <f>IF(AND(F65&lt;&gt;0,6175&lt;&gt;0),IF(100*6175/(F65-0)&lt;0.005,"*",100*6175/(F65-0)),0)</f>
        <v>0.33145464304884592</v>
      </c>
    </row>
    <row r="14" spans="1:7" x14ac:dyDescent="0.2">
      <c r="A14" s="11" t="s">
        <v>115</v>
      </c>
      <c r="B14" s="17">
        <v>13778</v>
      </c>
      <c r="C14" s="17">
        <v>13794</v>
      </c>
      <c r="D14" s="17">
        <v>8952</v>
      </c>
      <c r="E14" s="17">
        <v>22746</v>
      </c>
      <c r="F14" s="17">
        <v>0</v>
      </c>
      <c r="G14" s="18">
        <f>IF(AND(F65&lt;&gt;0,0&lt;&gt;0),IF(100*0/(F65-0)&lt;0.005,"*",100*0/(F65-0)),0)</f>
        <v>0</v>
      </c>
    </row>
    <row r="15" spans="1:7" x14ac:dyDescent="0.2">
      <c r="A15" s="11" t="s">
        <v>116</v>
      </c>
      <c r="B15" s="17">
        <v>133571</v>
      </c>
      <c r="C15" s="17">
        <v>126898</v>
      </c>
      <c r="D15" s="17">
        <v>24456</v>
      </c>
      <c r="E15" s="17">
        <v>151354</v>
      </c>
      <c r="F15" s="17">
        <v>144262</v>
      </c>
      <c r="G15" s="18">
        <f>IF(AND(F65&lt;&gt;0,144262&lt;&gt;0),IF(100*144262/(F65-0)&lt;0.005,"*",100*144262/(F65-0)),0)</f>
        <v>7.7435319377348364</v>
      </c>
    </row>
    <row r="16" spans="1:7" x14ac:dyDescent="0.2">
      <c r="A16" s="11" t="s">
        <v>117</v>
      </c>
      <c r="B16" s="17">
        <v>988</v>
      </c>
      <c r="C16" s="17">
        <v>75987</v>
      </c>
      <c r="D16" s="17">
        <v>24212</v>
      </c>
      <c r="E16" s="17">
        <v>100199</v>
      </c>
      <c r="F16" s="17">
        <v>58687</v>
      </c>
      <c r="G16" s="18">
        <f>IF(AND(F65&lt;&gt;0,58687&lt;&gt;0),IF(100*58687/(F65-0)&lt;0.005,"*",100*58687/(F65-0)),0)</f>
        <v>3.1501341921631778</v>
      </c>
    </row>
    <row r="17" spans="1:7" x14ac:dyDescent="0.2">
      <c r="A17" s="11" t="s">
        <v>118</v>
      </c>
      <c r="B17" s="17">
        <v>12322</v>
      </c>
      <c r="C17" s="17">
        <v>7209</v>
      </c>
      <c r="D17" s="17">
        <v>7948</v>
      </c>
      <c r="E17" s="17">
        <v>15157</v>
      </c>
      <c r="F17" s="17">
        <v>0</v>
      </c>
      <c r="G17" s="18">
        <f>IF(AND(F65&lt;&gt;0,0&lt;&gt;0),IF(100*0/(F65-0)&lt;0.005,"*",100*0/(F65-0)),0)</f>
        <v>0</v>
      </c>
    </row>
    <row r="18" spans="1:7" x14ac:dyDescent="0.2">
      <c r="A18" s="11" t="s">
        <v>119</v>
      </c>
      <c r="B18" s="17">
        <v>10653</v>
      </c>
      <c r="C18" s="17">
        <v>3828</v>
      </c>
      <c r="D18" s="17">
        <v>5719</v>
      </c>
      <c r="E18" s="17">
        <v>9547</v>
      </c>
      <c r="F18" s="17">
        <v>3995</v>
      </c>
      <c r="G18" s="18">
        <f>IF(AND(F65&lt;&gt;0,3995&lt;&gt;0),IF(100*3995/(F65-0)&lt;0.005,"*",100*3995/(F65-0)),0)</f>
        <v>0.21443907675791735</v>
      </c>
    </row>
    <row r="19" spans="1:7" x14ac:dyDescent="0.2">
      <c r="A19" s="11" t="s">
        <v>120</v>
      </c>
      <c r="B19" s="17">
        <v>63739</v>
      </c>
      <c r="C19" s="17">
        <v>139329</v>
      </c>
      <c r="D19" s="17">
        <v>24034</v>
      </c>
      <c r="E19" s="17">
        <v>163363</v>
      </c>
      <c r="F19" s="17">
        <v>169325</v>
      </c>
      <c r="G19" s="18">
        <f>IF(AND(F65&lt;&gt;0,169325&lt;&gt;0),IF(100*169325/(F65-0)&lt;0.005,"*",100*169325/(F65-0)),0)</f>
        <v>9.0888352120236178</v>
      </c>
    </row>
    <row r="20" spans="1:7" x14ac:dyDescent="0.2">
      <c r="A20" s="11" t="s">
        <v>121</v>
      </c>
      <c r="B20" s="17">
        <v>26798</v>
      </c>
      <c r="C20" s="17">
        <v>34511</v>
      </c>
      <c r="D20" s="17">
        <v>34828</v>
      </c>
      <c r="E20" s="17">
        <v>69339</v>
      </c>
      <c r="F20" s="17">
        <v>9940</v>
      </c>
      <c r="G20" s="18">
        <f>IF(AND(F65&lt;&gt;0,9940&lt;&gt;0),IF(100*9940/(F65-0)&lt;0.005,"*",100*9940/(F65-0)),0)</f>
        <v>0.53354804079441764</v>
      </c>
    </row>
    <row r="21" spans="1:7" x14ac:dyDescent="0.2">
      <c r="A21" s="11" t="s">
        <v>122</v>
      </c>
      <c r="B21" s="17">
        <v>7228</v>
      </c>
      <c r="C21" s="17">
        <v>25925</v>
      </c>
      <c r="D21" s="17">
        <v>18663</v>
      </c>
      <c r="E21" s="17">
        <v>44588</v>
      </c>
      <c r="F21" s="17">
        <v>6605</v>
      </c>
      <c r="G21" s="18">
        <f>IF(AND(F65&lt;&gt;0,6605&lt;&gt;0),IF(100*6605/(F65-0)&lt;0.005,"*",100*6605/(F65-0)),0)</f>
        <v>0.35453569511540528</v>
      </c>
    </row>
    <row r="22" spans="1:7" x14ac:dyDescent="0.2">
      <c r="A22" s="11" t="s">
        <v>123</v>
      </c>
      <c r="B22" s="17">
        <v>23218</v>
      </c>
      <c r="C22" s="17">
        <v>3873</v>
      </c>
      <c r="D22" s="17">
        <v>12758</v>
      </c>
      <c r="E22" s="17">
        <v>16631</v>
      </c>
      <c r="F22" s="17">
        <v>5817</v>
      </c>
      <c r="G22" s="18">
        <f>IF(AND(F65&lt;&gt;0,5817&lt;&gt;0),IF(100*5817/(F65-0)&lt;0.005,"*",100*5817/(F65-0)),0)</f>
        <v>0.31223832528180356</v>
      </c>
    </row>
    <row r="23" spans="1:7" x14ac:dyDescent="0.2">
      <c r="A23" s="11" t="s">
        <v>124</v>
      </c>
      <c r="B23" s="17">
        <v>38663</v>
      </c>
      <c r="C23" s="17">
        <v>0</v>
      </c>
      <c r="D23" s="17">
        <v>25093</v>
      </c>
      <c r="E23" s="17">
        <v>25093</v>
      </c>
      <c r="F23" s="17">
        <v>0</v>
      </c>
      <c r="G23" s="18">
        <f>IF(AND(F65&lt;&gt;0,0&lt;&gt;0),IF(100*0/(F65-0)&lt;0.005,"*",100*0/(F65-0)),0)</f>
        <v>0</v>
      </c>
    </row>
    <row r="24" spans="1:7" x14ac:dyDescent="0.2">
      <c r="A24" s="11" t="s">
        <v>125</v>
      </c>
      <c r="B24" s="17">
        <v>43413</v>
      </c>
      <c r="C24" s="17">
        <v>21365</v>
      </c>
      <c r="D24" s="17">
        <v>14524</v>
      </c>
      <c r="E24" s="17">
        <v>35889</v>
      </c>
      <c r="F24" s="17">
        <v>32087</v>
      </c>
      <c r="G24" s="18">
        <f>IF(AND(F65&lt;&gt;0,32087&lt;&gt;0),IF(100*32087/(F65-0)&lt;0.005,"*",100*32087/(F65-0)),0)</f>
        <v>1.7223295759527644</v>
      </c>
    </row>
    <row r="25" spans="1:7" x14ac:dyDescent="0.2">
      <c r="A25" s="11" t="s">
        <v>126</v>
      </c>
      <c r="B25" s="17">
        <v>12960</v>
      </c>
      <c r="C25" s="17">
        <v>3298</v>
      </c>
      <c r="D25" s="17">
        <v>8411</v>
      </c>
      <c r="E25" s="17">
        <v>11709</v>
      </c>
      <c r="F25" s="17">
        <v>4953</v>
      </c>
      <c r="G25" s="18">
        <f>IF(AND(F65&lt;&gt;0,4953&lt;&gt;0),IF(100*4953/(F65-0)&lt;0.005,"*",100*4953/(F65-0)),0)</f>
        <v>0.26586151368760064</v>
      </c>
    </row>
    <row r="26" spans="1:7" x14ac:dyDescent="0.2">
      <c r="A26" s="11" t="s">
        <v>127</v>
      </c>
      <c r="B26" s="17">
        <v>23043</v>
      </c>
      <c r="C26" s="17">
        <v>32085</v>
      </c>
      <c r="D26" s="17">
        <v>14560</v>
      </c>
      <c r="E26" s="17">
        <v>46645</v>
      </c>
      <c r="F26" s="17">
        <v>34503</v>
      </c>
      <c r="G26" s="18">
        <f>IF(AND(F65&lt;&gt;0,34503&lt;&gt;0),IF(100*34503/(F65-0)&lt;0.005,"*",100*34503/(F65-0)),0)</f>
        <v>1.8520128824476652</v>
      </c>
    </row>
    <row r="27" spans="1:7" x14ac:dyDescent="0.2">
      <c r="A27" s="11" t="s">
        <v>128</v>
      </c>
      <c r="B27" s="17">
        <v>61003</v>
      </c>
      <c r="C27" s="17">
        <v>32684</v>
      </c>
      <c r="D27" s="17">
        <v>37883</v>
      </c>
      <c r="E27" s="17">
        <v>70567</v>
      </c>
      <c r="F27" s="17">
        <v>49087</v>
      </c>
      <c r="G27" s="18">
        <f>IF(AND(F65&lt;&gt;0,49087&lt;&gt;0),IF(100*49087/(F65-0)&lt;0.005,"*",100*49087/(F65-0)),0)</f>
        <v>2.6348362855609233</v>
      </c>
    </row>
    <row r="28" spans="1:7" x14ac:dyDescent="0.2">
      <c r="A28" s="11" t="s">
        <v>129</v>
      </c>
      <c r="B28" s="17">
        <v>24297</v>
      </c>
      <c r="C28" s="17">
        <v>96943</v>
      </c>
      <c r="D28" s="17">
        <v>30475</v>
      </c>
      <c r="E28" s="17">
        <v>127418</v>
      </c>
      <c r="F28" s="17">
        <v>96551</v>
      </c>
      <c r="G28" s="18">
        <f>IF(AND(F65&lt;&gt;0,96551&lt;&gt;0),IF(100*96551/(F65-0)&lt;0.005,"*",100*96551/(F65-0)),0)</f>
        <v>5.1825550187869025</v>
      </c>
    </row>
    <row r="29" spans="1:7" x14ac:dyDescent="0.2">
      <c r="A29" s="11" t="s">
        <v>130</v>
      </c>
      <c r="B29" s="17">
        <v>46280</v>
      </c>
      <c r="C29" s="17">
        <v>12278</v>
      </c>
      <c r="D29" s="17">
        <v>23051</v>
      </c>
      <c r="E29" s="17">
        <v>35329</v>
      </c>
      <c r="F29" s="17">
        <v>18333</v>
      </c>
      <c r="G29" s="18">
        <f>IF(AND(F65&lt;&gt;0,18333&lt;&gt;0),IF(100*18333/(F65-0)&lt;0.005,"*",100*18333/(F65-0)),0)</f>
        <v>0.98405797101449277</v>
      </c>
    </row>
    <row r="30" spans="1:7" x14ac:dyDescent="0.2">
      <c r="A30" s="11" t="s">
        <v>131</v>
      </c>
      <c r="B30" s="17">
        <v>24689</v>
      </c>
      <c r="C30" s="17">
        <v>3539</v>
      </c>
      <c r="D30" s="17">
        <v>15087</v>
      </c>
      <c r="E30" s="17">
        <v>18626</v>
      </c>
      <c r="F30" s="17">
        <v>4650</v>
      </c>
      <c r="G30" s="18">
        <f>IF(AND(F65&lt;&gt;0,4650&lt;&gt;0),IF(100*4650/(F65-0)&lt;0.005,"*",100*4650/(F65-0)),0)</f>
        <v>0.24959742351046699</v>
      </c>
    </row>
    <row r="31" spans="1:7" x14ac:dyDescent="0.2">
      <c r="A31" s="11" t="s">
        <v>132</v>
      </c>
      <c r="B31" s="17">
        <v>36481</v>
      </c>
      <c r="C31" s="17">
        <v>44633</v>
      </c>
      <c r="D31" s="17">
        <v>21037</v>
      </c>
      <c r="E31" s="17">
        <v>65670</v>
      </c>
      <c r="F31" s="17">
        <v>36502</v>
      </c>
      <c r="G31" s="18">
        <f>IF(AND(F65&lt;&gt;0,36502&lt;&gt;0),IF(100*36502/(F65-0)&lt;0.005,"*",100*36502/(F65-0)),0)</f>
        <v>1.9593129361245303</v>
      </c>
    </row>
    <row r="32" spans="1:7" x14ac:dyDescent="0.2">
      <c r="A32" s="11" t="s">
        <v>133</v>
      </c>
      <c r="B32" s="17">
        <v>1117</v>
      </c>
      <c r="C32" s="17">
        <v>6423</v>
      </c>
      <c r="D32" s="17">
        <v>4438</v>
      </c>
      <c r="E32" s="17">
        <v>10861</v>
      </c>
      <c r="F32" s="17">
        <v>1055</v>
      </c>
      <c r="G32" s="18">
        <f>IF(AND(F65&lt;&gt;0,1055&lt;&gt;0),IF(100*1055/(F65-0)&lt;0.005,"*",100*1055/(F65-0)),0)</f>
        <v>5.6629092860976921E-2</v>
      </c>
    </row>
    <row r="33" spans="1:7" x14ac:dyDescent="0.2">
      <c r="A33" s="11" t="s">
        <v>134</v>
      </c>
      <c r="B33" s="17">
        <v>8354</v>
      </c>
      <c r="C33" s="17">
        <v>10468</v>
      </c>
      <c r="D33" s="17">
        <v>10250</v>
      </c>
      <c r="E33" s="17">
        <v>20718</v>
      </c>
      <c r="F33" s="17">
        <v>1019</v>
      </c>
      <c r="G33" s="18">
        <f>IF(AND(F65&lt;&gt;0,1019&lt;&gt;0),IF(100*1019/(F65-0)&lt;0.005,"*",100*1019/(F65-0)),0)</f>
        <v>5.4696725711218468E-2</v>
      </c>
    </row>
    <row r="34" spans="1:7" x14ac:dyDescent="0.2">
      <c r="A34" s="11" t="s">
        <v>135</v>
      </c>
      <c r="B34" s="17">
        <v>28307</v>
      </c>
      <c r="C34" s="17">
        <v>3264</v>
      </c>
      <c r="D34" s="17">
        <v>13319</v>
      </c>
      <c r="E34" s="17">
        <v>16583</v>
      </c>
      <c r="F34" s="17">
        <v>0</v>
      </c>
      <c r="G34" s="18">
        <f>IF(AND(F65&lt;&gt;0,0&lt;&gt;0),IF(100*0/(F65-0)&lt;0.005,"*",100*0/(F65-0)),0)</f>
        <v>0</v>
      </c>
    </row>
    <row r="35" spans="1:7" x14ac:dyDescent="0.2">
      <c r="A35" s="11" t="s">
        <v>136</v>
      </c>
      <c r="B35" s="17">
        <v>10039</v>
      </c>
      <c r="C35" s="17">
        <v>9406</v>
      </c>
      <c r="D35" s="17">
        <v>6465</v>
      </c>
      <c r="E35" s="17">
        <v>15871</v>
      </c>
      <c r="F35" s="17">
        <v>2077</v>
      </c>
      <c r="G35" s="18">
        <f>IF(AND(F65&lt;&gt;0,2077&lt;&gt;0),IF(100*2077/(F65-0)&lt;0.005,"*",100*2077/(F65-0)),0)</f>
        <v>0.11148684916800859</v>
      </c>
    </row>
    <row r="36" spans="1:7" x14ac:dyDescent="0.2">
      <c r="A36" s="11" t="s">
        <v>137</v>
      </c>
      <c r="B36" s="17">
        <v>58298</v>
      </c>
      <c r="C36" s="17">
        <v>38255</v>
      </c>
      <c r="D36" s="17">
        <v>31416</v>
      </c>
      <c r="E36" s="17">
        <v>69671</v>
      </c>
      <c r="F36" s="17">
        <v>44374</v>
      </c>
      <c r="G36" s="18">
        <f>IF(AND(F65&lt;&gt;0,44374&lt;&gt;0),IF(100*44374/(F65-0)&lt;0.005,"*",100*44374/(F65-0)),0)</f>
        <v>2.3818572195383791</v>
      </c>
    </row>
    <row r="37" spans="1:7" x14ac:dyDescent="0.2">
      <c r="A37" s="11" t="s">
        <v>138</v>
      </c>
      <c r="B37" s="17">
        <v>5040</v>
      </c>
      <c r="C37" s="17">
        <v>15671</v>
      </c>
      <c r="D37" s="17">
        <v>7222</v>
      </c>
      <c r="E37" s="17">
        <v>22893</v>
      </c>
      <c r="F37" s="17">
        <v>7999</v>
      </c>
      <c r="G37" s="18">
        <f>IF(AND(F65&lt;&gt;0,7999&lt;&gt;0),IF(100*7999/(F65-0)&lt;0.005,"*",100*7999/(F65-0)),0)</f>
        <v>0.4293612453032743</v>
      </c>
    </row>
    <row r="38" spans="1:7" x14ac:dyDescent="0.2">
      <c r="A38" s="11" t="s">
        <v>139</v>
      </c>
      <c r="B38" s="17">
        <v>63010</v>
      </c>
      <c r="C38" s="17">
        <v>259685</v>
      </c>
      <c r="D38" s="17">
        <v>46454</v>
      </c>
      <c r="E38" s="17">
        <v>306139</v>
      </c>
      <c r="F38" s="17">
        <v>321511</v>
      </c>
      <c r="G38" s="18">
        <f>IF(AND(F65&lt;&gt;0,321511&lt;&gt;0),IF(100*321511/(F65-0)&lt;0.005,"*",100*321511/(F65-0)),0)</f>
        <v>17.257702630166399</v>
      </c>
    </row>
    <row r="39" spans="1:7" x14ac:dyDescent="0.2">
      <c r="A39" s="11" t="s">
        <v>140</v>
      </c>
      <c r="B39" s="17">
        <v>51809</v>
      </c>
      <c r="C39" s="17">
        <v>23513</v>
      </c>
      <c r="D39" s="17">
        <v>30894</v>
      </c>
      <c r="E39" s="17">
        <v>54407</v>
      </c>
      <c r="F39" s="17">
        <v>35314</v>
      </c>
      <c r="G39" s="18">
        <f>IF(AND(F65&lt;&gt;0,35314&lt;&gt;0),IF(100*35314/(F65-0)&lt;0.005,"*",100*35314/(F65-0)),0)</f>
        <v>1.8955448201825014</v>
      </c>
    </row>
    <row r="40" spans="1:7" x14ac:dyDescent="0.2">
      <c r="A40" s="11" t="s">
        <v>141</v>
      </c>
      <c r="B40" s="17">
        <v>4640</v>
      </c>
      <c r="C40" s="17">
        <v>371</v>
      </c>
      <c r="D40" s="17">
        <v>3011</v>
      </c>
      <c r="E40" s="17">
        <v>3382</v>
      </c>
      <c r="F40" s="17">
        <v>558</v>
      </c>
      <c r="G40" s="18">
        <f>IF(AND(F65&lt;&gt;0,558&lt;&gt;0),IF(100*558/(F65-0)&lt;0.005,"*",100*558/(F65-0)),0)</f>
        <v>2.9951690821256038E-2</v>
      </c>
    </row>
    <row r="41" spans="1:7" x14ac:dyDescent="0.2">
      <c r="A41" s="11" t="s">
        <v>142</v>
      </c>
      <c r="B41" s="17">
        <v>102951</v>
      </c>
      <c r="C41" s="17">
        <v>59723</v>
      </c>
      <c r="D41" s="17">
        <v>77174</v>
      </c>
      <c r="E41" s="17">
        <v>136897</v>
      </c>
      <c r="F41" s="17">
        <v>26789</v>
      </c>
      <c r="G41" s="18">
        <f>IF(AND(F65&lt;&gt;0,26789&lt;&gt;0),IF(100*26789/(F65-0)&lt;0.005,"*",100*26789/(F65-0)),0)</f>
        <v>1.4379495437466452</v>
      </c>
    </row>
    <row r="42" spans="1:7" x14ac:dyDescent="0.2">
      <c r="A42" s="11" t="s">
        <v>143</v>
      </c>
      <c r="B42" s="17">
        <v>25074</v>
      </c>
      <c r="C42" s="17">
        <v>0</v>
      </c>
      <c r="D42" s="17">
        <v>15836</v>
      </c>
      <c r="E42" s="17">
        <v>15836</v>
      </c>
      <c r="F42" s="17">
        <v>0</v>
      </c>
      <c r="G42" s="18">
        <f>IF(AND(F65&lt;&gt;0,0&lt;&gt;0),IF(100*0/(F65-0)&lt;0.005,"*",100*0/(F65-0)),0)</f>
        <v>0</v>
      </c>
    </row>
    <row r="43" spans="1:7" x14ac:dyDescent="0.2">
      <c r="A43" s="11" t="s">
        <v>144</v>
      </c>
      <c r="B43" s="17">
        <v>28180</v>
      </c>
      <c r="C43" s="17">
        <v>4775</v>
      </c>
      <c r="D43" s="17">
        <v>17560</v>
      </c>
      <c r="E43" s="17">
        <v>22335</v>
      </c>
      <c r="F43" s="17">
        <v>7172</v>
      </c>
      <c r="G43" s="18">
        <f>IF(AND(F65&lt;&gt;0,7172&lt;&gt;0),IF(100*7172/(F65-0)&lt;0.005,"*",100*7172/(F65-0)),0)</f>
        <v>0.38497047772410092</v>
      </c>
    </row>
    <row r="44" spans="1:7" x14ac:dyDescent="0.2">
      <c r="A44" s="11" t="s">
        <v>145</v>
      </c>
      <c r="B44" s="17">
        <v>46603</v>
      </c>
      <c r="C44" s="17">
        <v>148352</v>
      </c>
      <c r="D44" s="17">
        <v>37391</v>
      </c>
      <c r="E44" s="17">
        <v>185743</v>
      </c>
      <c r="F44" s="17">
        <v>167224</v>
      </c>
      <c r="G44" s="18">
        <f>IF(AND(F65&lt;&gt;0,167224&lt;&gt;0),IF(100*167224/(F65-0)&lt;0.005,"*",100*167224/(F65-0)),0)</f>
        <v>8.9760601180891033</v>
      </c>
    </row>
    <row r="45" spans="1:7" x14ac:dyDescent="0.2">
      <c r="A45" s="11" t="s">
        <v>146</v>
      </c>
      <c r="B45" s="17">
        <v>17144</v>
      </c>
      <c r="C45" s="17">
        <v>7806</v>
      </c>
      <c r="D45" s="17">
        <v>8067</v>
      </c>
      <c r="E45" s="17">
        <v>15873</v>
      </c>
      <c r="F45" s="17">
        <v>4209</v>
      </c>
      <c r="G45" s="18">
        <f>IF(AND(F65&lt;&gt;0,4209&lt;&gt;0),IF(100*4209/(F65-0)&lt;0.005,"*",100*4209/(F65-0)),0)</f>
        <v>0.22592592592592592</v>
      </c>
    </row>
    <row r="46" spans="1:7" x14ac:dyDescent="0.2">
      <c r="A46" s="11" t="s">
        <v>147</v>
      </c>
      <c r="B46" s="17">
        <v>31517</v>
      </c>
      <c r="C46" s="17">
        <v>7426</v>
      </c>
      <c r="D46" s="17">
        <v>17428</v>
      </c>
      <c r="E46" s="17">
        <v>24854</v>
      </c>
      <c r="F46" s="17">
        <v>11153</v>
      </c>
      <c r="G46" s="18">
        <f>IF(AND(F65&lt;&gt;0,11153&lt;&gt;0),IF(100*11153/(F65-0)&lt;0.005,"*",100*11153/(F65-0)),0)</f>
        <v>0.59865807836822327</v>
      </c>
    </row>
    <row r="47" spans="1:7" x14ac:dyDescent="0.2">
      <c r="A47" s="11" t="s">
        <v>148</v>
      </c>
      <c r="B47" s="17">
        <v>6471</v>
      </c>
      <c r="C47" s="17">
        <v>0</v>
      </c>
      <c r="D47" s="17">
        <v>4200</v>
      </c>
      <c r="E47" s="17">
        <v>4200</v>
      </c>
      <c r="F47" s="17">
        <v>0</v>
      </c>
      <c r="G47" s="18">
        <f>IF(AND(F65&lt;&gt;0,0&lt;&gt;0),IF(100*0/(F65-0)&lt;0.005,"*",100*0/(F65-0)),0)</f>
        <v>0</v>
      </c>
    </row>
    <row r="48" spans="1:7" x14ac:dyDescent="0.2">
      <c r="A48" s="11" t="s">
        <v>149</v>
      </c>
      <c r="B48" s="17">
        <v>45288</v>
      </c>
      <c r="C48" s="17">
        <v>0</v>
      </c>
      <c r="D48" s="17">
        <v>29393</v>
      </c>
      <c r="E48" s="17">
        <v>29393</v>
      </c>
      <c r="F48" s="17">
        <v>0</v>
      </c>
      <c r="G48" s="18">
        <f>IF(AND(F65&lt;&gt;0,0&lt;&gt;0),IF(100*0/(F65-0)&lt;0.005,"*",100*0/(F65-0)),0)</f>
        <v>0</v>
      </c>
    </row>
    <row r="49" spans="1:7" x14ac:dyDescent="0.2">
      <c r="A49" s="11" t="s">
        <v>150</v>
      </c>
      <c r="B49" s="17">
        <v>169527</v>
      </c>
      <c r="C49" s="17">
        <v>140289</v>
      </c>
      <c r="D49" s="17">
        <v>87602</v>
      </c>
      <c r="E49" s="17">
        <v>227891</v>
      </c>
      <c r="F49" s="17">
        <v>121212</v>
      </c>
      <c r="G49" s="18">
        <f>IF(AND(F65&lt;&gt;0,121212&lt;&gt;0),IF(100*121212/(F65-0)&lt;0.005,"*",100*121212/(F65-0)),0)</f>
        <v>6.5062801932367149</v>
      </c>
    </row>
    <row r="50" spans="1:7" x14ac:dyDescent="0.2">
      <c r="A50" s="11" t="s">
        <v>151</v>
      </c>
      <c r="B50" s="17">
        <v>23587</v>
      </c>
      <c r="C50" s="17">
        <v>2403</v>
      </c>
      <c r="D50" s="17">
        <v>11173</v>
      </c>
      <c r="E50" s="17">
        <v>13576</v>
      </c>
      <c r="F50" s="17">
        <v>3609</v>
      </c>
      <c r="G50" s="18">
        <f>IF(AND(F65&lt;&gt;0,3609&lt;&gt;0),IF(100*3609/(F65-0)&lt;0.005,"*",100*3609/(F65-0)),0)</f>
        <v>0.19371980676328501</v>
      </c>
    </row>
    <row r="51" spans="1:7" x14ac:dyDescent="0.2">
      <c r="A51" s="11" t="s">
        <v>152</v>
      </c>
      <c r="B51" s="17">
        <v>6283</v>
      </c>
      <c r="C51" s="17">
        <v>720</v>
      </c>
      <c r="D51" s="17">
        <v>4078</v>
      </c>
      <c r="E51" s="17">
        <v>4798</v>
      </c>
      <c r="F51" s="17">
        <v>1081</v>
      </c>
      <c r="G51" s="18">
        <f>IF(AND(F65&lt;&gt;0,1081&lt;&gt;0),IF(100*1081/(F65-0)&lt;0.005,"*",100*1081/(F65-0)),0)</f>
        <v>5.802469135802469E-2</v>
      </c>
    </row>
    <row r="52" spans="1:7" x14ac:dyDescent="0.2">
      <c r="A52" s="11" t="s">
        <v>153</v>
      </c>
      <c r="B52" s="17">
        <v>54669</v>
      </c>
      <c r="C52" s="17">
        <v>7841</v>
      </c>
      <c r="D52" s="17">
        <v>27945</v>
      </c>
      <c r="E52" s="17">
        <v>35786</v>
      </c>
      <c r="F52" s="17">
        <v>11776</v>
      </c>
      <c r="G52" s="18">
        <f>IF(AND(F65&lt;&gt;0,11776&lt;&gt;0),IF(100*11776/(F65-0)&lt;0.005,"*",100*11776/(F65-0)),0)</f>
        <v>0.63209876543209875</v>
      </c>
    </row>
    <row r="53" spans="1:7" x14ac:dyDescent="0.2">
      <c r="A53" s="11" t="s">
        <v>154</v>
      </c>
      <c r="B53" s="17">
        <v>36360</v>
      </c>
      <c r="C53" s="17">
        <v>19490</v>
      </c>
      <c r="D53" s="17">
        <v>28095</v>
      </c>
      <c r="E53" s="17">
        <v>47585</v>
      </c>
      <c r="F53" s="17">
        <v>12191</v>
      </c>
      <c r="G53" s="18">
        <f>IF(AND(F65&lt;&gt;0,12191&lt;&gt;0),IF(100*12191/(F65-0)&lt;0.005,"*",100*12191/(F65-0)),0)</f>
        <v>0.65437466451959203</v>
      </c>
    </row>
    <row r="54" spans="1:7" x14ac:dyDescent="0.2">
      <c r="A54" s="11" t="s">
        <v>155</v>
      </c>
      <c r="B54" s="17">
        <v>19765</v>
      </c>
      <c r="C54" s="17">
        <v>15400</v>
      </c>
      <c r="D54" s="17">
        <v>9978</v>
      </c>
      <c r="E54" s="17">
        <v>25378</v>
      </c>
      <c r="F54" s="17">
        <v>4672</v>
      </c>
      <c r="G54" s="18">
        <f>IF(AND(F65&lt;&gt;0,4672&lt;&gt;0),IF(100*4672/(F65-0)&lt;0.005,"*",100*4672/(F65-0)),0)</f>
        <v>0.25077831454643051</v>
      </c>
    </row>
    <row r="55" spans="1:7" x14ac:dyDescent="0.2">
      <c r="A55" s="11" t="s">
        <v>156</v>
      </c>
      <c r="B55" s="17">
        <v>23419</v>
      </c>
      <c r="C55" s="17">
        <v>35547</v>
      </c>
      <c r="D55" s="17">
        <v>29346</v>
      </c>
      <c r="E55" s="17">
        <v>64893</v>
      </c>
      <c r="F55" s="17">
        <v>16753</v>
      </c>
      <c r="G55" s="18">
        <f>IF(AND(F65&lt;&gt;0,16753&lt;&gt;0),IF(100*16753/(F65-0)&lt;0.005,"*",100*16753/(F65-0)),0)</f>
        <v>0.89924852388620502</v>
      </c>
    </row>
    <row r="56" spans="1:7" x14ac:dyDescent="0.2">
      <c r="A56" s="11" t="s">
        <v>157</v>
      </c>
      <c r="B56" s="17">
        <v>3503</v>
      </c>
      <c r="C56" s="17">
        <v>2787</v>
      </c>
      <c r="D56" s="17">
        <v>2266</v>
      </c>
      <c r="E56" s="17">
        <v>5053</v>
      </c>
      <c r="F56" s="17">
        <v>0</v>
      </c>
      <c r="G56" s="18">
        <f>IF(AND(F65&lt;&gt;0,0&lt;&gt;0),IF(100*0/(F65-0)&lt;0.005,"*",100*0/(F65-0)),0)</f>
        <v>0</v>
      </c>
    </row>
    <row r="57" spans="1:7" x14ac:dyDescent="0.2">
      <c r="A57" s="11" t="s">
        <v>158</v>
      </c>
      <c r="B57" s="17">
        <v>1022</v>
      </c>
      <c r="C57" s="17">
        <v>1016</v>
      </c>
      <c r="D57" s="17">
        <v>659</v>
      </c>
      <c r="E57" s="17">
        <v>1675</v>
      </c>
      <c r="F57" s="17">
        <v>0</v>
      </c>
      <c r="G57" s="18">
        <f>IF(AND(F65&lt;&gt;0,0&lt;&gt;0),IF(100*0/(F65-0)&lt;0.005,"*",100*0/(F65-0)),0)</f>
        <v>0</v>
      </c>
    </row>
    <row r="58" spans="1:7" x14ac:dyDescent="0.2">
      <c r="A58" s="11" t="s">
        <v>159</v>
      </c>
      <c r="B58" s="17">
        <v>3044</v>
      </c>
      <c r="C58" s="17">
        <v>3051</v>
      </c>
      <c r="D58" s="17">
        <v>1980</v>
      </c>
      <c r="E58" s="17">
        <v>5031</v>
      </c>
      <c r="F58" s="17">
        <v>0</v>
      </c>
      <c r="G58" s="18">
        <f>IF(AND(F65&lt;&gt;0,0&lt;&gt;0),IF(100*0/(F65-0)&lt;0.005,"*",100*0/(F65-0)),0)</f>
        <v>0</v>
      </c>
    </row>
    <row r="59" spans="1:7" x14ac:dyDescent="0.2">
      <c r="A59" s="11" t="s">
        <v>160</v>
      </c>
      <c r="B59" s="17">
        <v>985</v>
      </c>
      <c r="C59" s="17">
        <v>1002</v>
      </c>
      <c r="D59" s="17">
        <v>651</v>
      </c>
      <c r="E59" s="17">
        <v>1653</v>
      </c>
      <c r="F59" s="17">
        <v>0</v>
      </c>
      <c r="G59" s="18">
        <f>IF(AND(F65&lt;&gt;0,0&lt;&gt;0),IF(100*0/(F65-0)&lt;0.005,"*",100*0/(F65-0)),0)</f>
        <v>0</v>
      </c>
    </row>
    <row r="60" spans="1:7" x14ac:dyDescent="0.2">
      <c r="A60" s="11" t="s">
        <v>161</v>
      </c>
      <c r="B60" s="17">
        <v>27951</v>
      </c>
      <c r="C60" s="17">
        <v>25615</v>
      </c>
      <c r="D60" s="17">
        <v>33119</v>
      </c>
      <c r="E60" s="17">
        <v>58734</v>
      </c>
      <c r="F60" s="17">
        <v>3810</v>
      </c>
      <c r="G60" s="18">
        <f>IF(AND(F65&lt;&gt;0,3810&lt;&gt;0),IF(100*3810/(F65-0)&lt;0.005,"*",100*3810/(F65-0)),0)</f>
        <v>0.20450885668276972</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1949</v>
      </c>
      <c r="C62" s="17">
        <v>1930</v>
      </c>
      <c r="D62" s="17">
        <v>1253</v>
      </c>
      <c r="E62" s="17">
        <v>3183</v>
      </c>
      <c r="F62" s="17">
        <v>0</v>
      </c>
      <c r="G62" s="18">
        <f>IF(AND(F65&lt;&gt;0,0&lt;&gt;0),IF(100*0/(F65-0)&lt;0.005,"*",100*0/(F65-0)),0)</f>
        <v>0</v>
      </c>
    </row>
    <row r="63" spans="1:7" x14ac:dyDescent="0.2">
      <c r="A63" s="11" t="s">
        <v>164</v>
      </c>
      <c r="B63" s="17">
        <v>61824</v>
      </c>
      <c r="C63" s="17">
        <v>2928</v>
      </c>
      <c r="D63" s="17">
        <v>56000</v>
      </c>
      <c r="E63" s="17">
        <v>58928</v>
      </c>
      <c r="F63" s="17">
        <v>3000</v>
      </c>
      <c r="G63" s="18">
        <f>IF(AND(F65&lt;&gt;0,3000&lt;&gt;0),IF(100*3000/(F65-0)&lt;0.005,"*",100*3000/(F65-0)),0)</f>
        <v>0.1610305958132045</v>
      </c>
    </row>
    <row r="64" spans="1:7" x14ac:dyDescent="0.2">
      <c r="A64" s="11" t="s">
        <v>165</v>
      </c>
      <c r="B64" s="17">
        <v>0</v>
      </c>
      <c r="C64" s="17">
        <v>0</v>
      </c>
      <c r="D64" s="17">
        <v>0</v>
      </c>
      <c r="E64" s="17">
        <v>0</v>
      </c>
      <c r="F64" s="17">
        <v>0</v>
      </c>
      <c r="G64" s="18">
        <v>0</v>
      </c>
    </row>
    <row r="65" spans="1:7" ht="15" customHeight="1" x14ac:dyDescent="0.2">
      <c r="A65" s="19" t="s">
        <v>106</v>
      </c>
      <c r="B65" s="20">
        <f>38886+1613+21283+6597+276258+36067+38416+230+13778+133571+988+12322+10653+63739+26798+7228+23218+38663+43413+12960+23043+61003+24297+46280+24689+36481+1117+8354+28307+10039+58298+5040+63010+51809+4640+102951+25074+28180+46603+17144+31517+6471+45288+169527+23587+6283+54669+36360+19765+23419+3503+1022+3044+985+27951+0+1949+61824+0+0</f>
        <v>1990204</v>
      </c>
      <c r="C65" s="20">
        <f>27202+2629+34149+16721+222816+5142+9699+6127+13794+126898+75987+7209+3828+139329+34511+25925+3873+0+21365+3298+32085+32684+96943+12278+3539+44633+6423+10468+3264+9406+38255+15671+259685+23513+371+59723+0+4775+148352+7806+7426+0+0+140289+2403+720+7841+19490+15400+35547+2787+1016+3051+1002+25615+0+1930+2928+0+0</f>
        <v>1857821</v>
      </c>
      <c r="D65" s="20">
        <f>22086+2753+10292+14443+88167+18891+16795+1458+8952+24456+24212+7948+5719+24034+34828+18663+12758+25093+14524+8411+14560+37883+30475+23051+15087+21037+4438+10250+13319+6465+31416+7222+46454+30894+3011+77174+15836+17560+37391+8067+17428+4200+29393+87602+11173+4078+27945+28095+9978+29346+2266+659+1980+651+33119+0+1253+56000+0+0</f>
        <v>1181239</v>
      </c>
      <c r="E65" s="20">
        <f>SUM(C65:D65)</f>
        <v>3039060</v>
      </c>
      <c r="F65" s="20">
        <f>8596+0+51287+1162+289636+7722+14567+6175+0+144262+58687+0+3995+169325+9940+6605+5817+0+32087+4953+34503+49087+96551+18333+4650+36502+1055+1019+0+2077+44374+7999+321511+35314+558+26789+0+7172+167224+4209+11153+0+0+121212+3609+1081+11776+12191+4672+16753+0+0+0+0+3810+0+0+3000+0+0</f>
        <v>1863000</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353</v>
      </c>
      <c r="B1" s="10"/>
      <c r="C1" s="10"/>
      <c r="D1" s="10"/>
      <c r="E1" s="10"/>
      <c r="F1" s="10"/>
      <c r="G1" s="12" t="s">
        <v>354</v>
      </c>
    </row>
    <row r="2" spans="1:7" x14ac:dyDescent="0.2">
      <c r="A2" s="13" t="s">
        <v>356</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28641</v>
      </c>
      <c r="C6" s="17">
        <v>0</v>
      </c>
      <c r="D6" s="17">
        <v>0</v>
      </c>
      <c r="E6" s="17">
        <v>0</v>
      </c>
      <c r="F6" s="17">
        <v>0</v>
      </c>
      <c r="G6" s="18">
        <f>IF(AND(F65&lt;&gt;1312397,0&lt;&gt;0),IF(100*0/(F65-1312397)&lt;0.005,"*",100*0/(F65-1312397)),0)</f>
        <v>0</v>
      </c>
    </row>
    <row r="7" spans="1:7" x14ac:dyDescent="0.2">
      <c r="A7" s="11" t="s">
        <v>108</v>
      </c>
      <c r="B7" s="17">
        <v>0</v>
      </c>
      <c r="C7" s="17">
        <v>0</v>
      </c>
      <c r="D7" s="17">
        <v>0</v>
      </c>
      <c r="E7" s="17">
        <v>0</v>
      </c>
      <c r="F7" s="17">
        <v>0</v>
      </c>
      <c r="G7" s="18">
        <f>IF(AND(F65&lt;&gt;1312397,0&lt;&gt;0),IF(100*0/(F65-1312397)&lt;0.005,"*",100*0/(F65-1312397)),0)</f>
        <v>0</v>
      </c>
    </row>
    <row r="8" spans="1:7" x14ac:dyDescent="0.2">
      <c r="A8" s="11" t="s">
        <v>109</v>
      </c>
      <c r="B8" s="17">
        <v>0</v>
      </c>
      <c r="C8" s="17">
        <v>0</v>
      </c>
      <c r="D8" s="17">
        <v>0</v>
      </c>
      <c r="E8" s="17">
        <v>0</v>
      </c>
      <c r="F8" s="17">
        <v>0</v>
      </c>
      <c r="G8" s="18">
        <f>IF(AND(F65&lt;&gt;1312397,0&lt;&gt;0),IF(100*0/(F65-1312397)&lt;0.005,"*",100*0/(F65-1312397)),0)</f>
        <v>0</v>
      </c>
    </row>
    <row r="9" spans="1:7" x14ac:dyDescent="0.2">
      <c r="A9" s="11" t="s">
        <v>110</v>
      </c>
      <c r="B9" s="17">
        <v>0</v>
      </c>
      <c r="C9" s="17">
        <v>0</v>
      </c>
      <c r="D9" s="17">
        <v>0</v>
      </c>
      <c r="E9" s="17">
        <v>0</v>
      </c>
      <c r="F9" s="17">
        <v>0</v>
      </c>
      <c r="G9" s="18">
        <f>IF(AND(F65&lt;&gt;1312397,0&lt;&gt;0),IF(100*0/(F65-1312397)&lt;0.005,"*",100*0/(F65-1312397)),0)</f>
        <v>0</v>
      </c>
    </row>
    <row r="10" spans="1:7" x14ac:dyDescent="0.2">
      <c r="A10" s="11" t="s">
        <v>111</v>
      </c>
      <c r="B10" s="17">
        <v>70359</v>
      </c>
      <c r="C10" s="17">
        <v>0</v>
      </c>
      <c r="D10" s="17">
        <v>0</v>
      </c>
      <c r="E10" s="17">
        <v>0</v>
      </c>
      <c r="F10" s="17">
        <v>0</v>
      </c>
      <c r="G10" s="18">
        <f>IF(AND(F65&lt;&gt;1312397,0&lt;&gt;0),IF(100*0/(F65-1312397)&lt;0.005,"*",100*0/(F65-1312397)),0)</f>
        <v>0</v>
      </c>
    </row>
    <row r="11" spans="1:7" x14ac:dyDescent="0.2">
      <c r="A11" s="11" t="s">
        <v>112</v>
      </c>
      <c r="B11" s="17">
        <v>118023</v>
      </c>
      <c r="C11" s="17">
        <v>0</v>
      </c>
      <c r="D11" s="17">
        <v>0</v>
      </c>
      <c r="E11" s="17">
        <v>0</v>
      </c>
      <c r="F11" s="17">
        <v>0</v>
      </c>
      <c r="G11" s="18">
        <f>IF(AND(F65&lt;&gt;1312397,0&lt;&gt;0),IF(100*0/(F65-1312397)&lt;0.005,"*",100*0/(F65-1312397)),0)</f>
        <v>0</v>
      </c>
    </row>
    <row r="12" spans="1:7" x14ac:dyDescent="0.2">
      <c r="A12" s="11" t="s">
        <v>113</v>
      </c>
      <c r="B12" s="17">
        <v>113556</v>
      </c>
      <c r="C12" s="17">
        <v>0</v>
      </c>
      <c r="D12" s="17">
        <v>0</v>
      </c>
      <c r="E12" s="17">
        <v>0</v>
      </c>
      <c r="F12" s="17">
        <v>0</v>
      </c>
      <c r="G12" s="18">
        <f>IF(AND(F65&lt;&gt;1312397,0&lt;&gt;0),IF(100*0/(F65-1312397)&lt;0.005,"*",100*0/(F65-1312397)),0)</f>
        <v>0</v>
      </c>
    </row>
    <row r="13" spans="1:7" x14ac:dyDescent="0.2">
      <c r="A13" s="11" t="s">
        <v>114</v>
      </c>
      <c r="B13" s="17">
        <v>0</v>
      </c>
      <c r="C13" s="17">
        <v>0</v>
      </c>
      <c r="D13" s="17">
        <v>0</v>
      </c>
      <c r="E13" s="17">
        <v>0</v>
      </c>
      <c r="F13" s="17">
        <v>0</v>
      </c>
      <c r="G13" s="18">
        <f>IF(AND(F65&lt;&gt;1312397,0&lt;&gt;0),IF(100*0/(F65-1312397)&lt;0.005,"*",100*0/(F65-1312397)),0)</f>
        <v>0</v>
      </c>
    </row>
    <row r="14" spans="1:7" x14ac:dyDescent="0.2">
      <c r="A14" s="11" t="s">
        <v>115</v>
      </c>
      <c r="B14" s="17">
        <v>0</v>
      </c>
      <c r="C14" s="17">
        <v>0</v>
      </c>
      <c r="D14" s="17">
        <v>0</v>
      </c>
      <c r="E14" s="17">
        <v>0</v>
      </c>
      <c r="F14" s="17">
        <v>0</v>
      </c>
      <c r="G14" s="18">
        <f>IF(AND(F65&lt;&gt;1312397,0&lt;&gt;0),IF(100*0/(F65-1312397)&lt;0.005,"*",100*0/(F65-1312397)),0)</f>
        <v>0</v>
      </c>
    </row>
    <row r="15" spans="1:7" x14ac:dyDescent="0.2">
      <c r="A15" s="11" t="s">
        <v>116</v>
      </c>
      <c r="B15" s="17">
        <v>58602</v>
      </c>
      <c r="C15" s="17">
        <v>213316</v>
      </c>
      <c r="D15" s="17">
        <v>0</v>
      </c>
      <c r="E15" s="17">
        <v>213316</v>
      </c>
      <c r="F15" s="17">
        <v>461942</v>
      </c>
      <c r="G15" s="18">
        <f>IF(AND(F65&lt;&gt;1312397,461942&lt;&gt;0),IF(100*461942/(F65-1312397)&lt;0.005,"*",100*461942/(F65-1312397)),0)</f>
        <v>10.920348748009209</v>
      </c>
    </row>
    <row r="16" spans="1:7" x14ac:dyDescent="0.2">
      <c r="A16" s="11" t="s">
        <v>117</v>
      </c>
      <c r="B16" s="17">
        <v>0</v>
      </c>
      <c r="C16" s="17">
        <v>0</v>
      </c>
      <c r="D16" s="17">
        <v>0</v>
      </c>
      <c r="E16" s="17">
        <v>0</v>
      </c>
      <c r="F16" s="17">
        <v>0</v>
      </c>
      <c r="G16" s="18">
        <f>IF(AND(F65&lt;&gt;1312397,0&lt;&gt;0),IF(100*0/(F65-1312397)&lt;0.005,"*",100*0/(F65-1312397)),0)</f>
        <v>0</v>
      </c>
    </row>
    <row r="17" spans="1:7" x14ac:dyDescent="0.2">
      <c r="A17" s="11" t="s">
        <v>118</v>
      </c>
      <c r="B17" s="17">
        <v>0</v>
      </c>
      <c r="C17" s="17">
        <v>0</v>
      </c>
      <c r="D17" s="17">
        <v>0</v>
      </c>
      <c r="E17" s="17">
        <v>0</v>
      </c>
      <c r="F17" s="17">
        <v>0</v>
      </c>
      <c r="G17" s="18">
        <f>IF(AND(F65&lt;&gt;1312397,0&lt;&gt;0),IF(100*0/(F65-1312397)&lt;0.005,"*",100*0/(F65-1312397)),0)</f>
        <v>0</v>
      </c>
    </row>
    <row r="18" spans="1:7" x14ac:dyDescent="0.2">
      <c r="A18" s="11" t="s">
        <v>119</v>
      </c>
      <c r="B18" s="17">
        <v>0</v>
      </c>
      <c r="C18" s="17">
        <v>0</v>
      </c>
      <c r="D18" s="17">
        <v>0</v>
      </c>
      <c r="E18" s="17">
        <v>0</v>
      </c>
      <c r="F18" s="17">
        <v>0</v>
      </c>
      <c r="G18" s="18">
        <f>IF(AND(F65&lt;&gt;1312397,0&lt;&gt;0),IF(100*0/(F65-1312397)&lt;0.005,"*",100*0/(F65-1312397)),0)</f>
        <v>0</v>
      </c>
    </row>
    <row r="19" spans="1:7" x14ac:dyDescent="0.2">
      <c r="A19" s="11" t="s">
        <v>120</v>
      </c>
      <c r="B19" s="17">
        <v>58641</v>
      </c>
      <c r="C19" s="17">
        <v>0</v>
      </c>
      <c r="D19" s="17">
        <v>0</v>
      </c>
      <c r="E19" s="17">
        <v>0</v>
      </c>
      <c r="F19" s="17">
        <v>0</v>
      </c>
      <c r="G19" s="18">
        <f>IF(AND(F65&lt;&gt;1312397,0&lt;&gt;0),IF(100*0/(F65-1312397)&lt;0.005,"*",100*0/(F65-1312397)),0)</f>
        <v>0</v>
      </c>
    </row>
    <row r="20" spans="1:7" x14ac:dyDescent="0.2">
      <c r="A20" s="11" t="s">
        <v>121</v>
      </c>
      <c r="B20" s="17">
        <v>0</v>
      </c>
      <c r="C20" s="17">
        <v>0</v>
      </c>
      <c r="D20" s="17">
        <v>0</v>
      </c>
      <c r="E20" s="17">
        <v>0</v>
      </c>
      <c r="F20" s="17">
        <v>0</v>
      </c>
      <c r="G20" s="18">
        <f>IF(AND(F65&lt;&gt;1312397,0&lt;&gt;0),IF(100*0/(F65-1312397)&lt;0.005,"*",100*0/(F65-1312397)),0)</f>
        <v>0</v>
      </c>
    </row>
    <row r="21" spans="1:7" x14ac:dyDescent="0.2">
      <c r="A21" s="11" t="s">
        <v>122</v>
      </c>
      <c r="B21" s="17">
        <v>96887</v>
      </c>
      <c r="C21" s="17">
        <v>0</v>
      </c>
      <c r="D21" s="17">
        <v>0</v>
      </c>
      <c r="E21" s="17">
        <v>0</v>
      </c>
      <c r="F21" s="17">
        <v>0</v>
      </c>
      <c r="G21" s="18">
        <f>IF(AND(F65&lt;&gt;1312397,0&lt;&gt;0),IF(100*0/(F65-1312397)&lt;0.005,"*",100*0/(F65-1312397)),0)</f>
        <v>0</v>
      </c>
    </row>
    <row r="22" spans="1:7" x14ac:dyDescent="0.2">
      <c r="A22" s="11" t="s">
        <v>123</v>
      </c>
      <c r="B22" s="17">
        <v>0</v>
      </c>
      <c r="C22" s="17">
        <v>0</v>
      </c>
      <c r="D22" s="17">
        <v>0</v>
      </c>
      <c r="E22" s="17">
        <v>0</v>
      </c>
      <c r="F22" s="17">
        <v>0</v>
      </c>
      <c r="G22" s="18">
        <f>IF(AND(F65&lt;&gt;1312397,0&lt;&gt;0),IF(100*0/(F65-1312397)&lt;0.005,"*",100*0/(F65-1312397)),0)</f>
        <v>0</v>
      </c>
    </row>
    <row r="23" spans="1:7" x14ac:dyDescent="0.2">
      <c r="A23" s="11" t="s">
        <v>124</v>
      </c>
      <c r="B23" s="17">
        <v>0</v>
      </c>
      <c r="C23" s="17">
        <v>0</v>
      </c>
      <c r="D23" s="17">
        <v>0</v>
      </c>
      <c r="E23" s="17">
        <v>0</v>
      </c>
      <c r="F23" s="17">
        <v>0</v>
      </c>
      <c r="G23" s="18">
        <f>IF(AND(F65&lt;&gt;1312397,0&lt;&gt;0),IF(100*0/(F65-1312397)&lt;0.005,"*",100*0/(F65-1312397)),0)</f>
        <v>0</v>
      </c>
    </row>
    <row r="24" spans="1:7" x14ac:dyDescent="0.2">
      <c r="A24" s="11" t="s">
        <v>125</v>
      </c>
      <c r="B24" s="17">
        <v>2016127</v>
      </c>
      <c r="C24" s="17">
        <v>51435</v>
      </c>
      <c r="D24" s="17">
        <v>0</v>
      </c>
      <c r="E24" s="17">
        <v>51435</v>
      </c>
      <c r="F24" s="17">
        <v>0</v>
      </c>
      <c r="G24" s="18">
        <f>IF(AND(F65&lt;&gt;1312397,0&lt;&gt;0),IF(100*0/(F65-1312397)&lt;0.005,"*",100*0/(F65-1312397)),0)</f>
        <v>0</v>
      </c>
    </row>
    <row r="25" spans="1:7" x14ac:dyDescent="0.2">
      <c r="A25" s="11" t="s">
        <v>126</v>
      </c>
      <c r="B25" s="17">
        <v>0</v>
      </c>
      <c r="C25" s="17">
        <v>0</v>
      </c>
      <c r="D25" s="17">
        <v>0</v>
      </c>
      <c r="E25" s="17">
        <v>0</v>
      </c>
      <c r="F25" s="17">
        <v>0</v>
      </c>
      <c r="G25" s="18">
        <f>IF(AND(F65&lt;&gt;1312397,0&lt;&gt;0),IF(100*0/(F65-1312397)&lt;0.005,"*",100*0/(F65-1312397)),0)</f>
        <v>0</v>
      </c>
    </row>
    <row r="26" spans="1:7" x14ac:dyDescent="0.2">
      <c r="A26" s="11" t="s">
        <v>127</v>
      </c>
      <c r="B26" s="17">
        <v>5200</v>
      </c>
      <c r="C26" s="17">
        <v>0</v>
      </c>
      <c r="D26" s="17">
        <v>0</v>
      </c>
      <c r="E26" s="17">
        <v>0</v>
      </c>
      <c r="F26" s="17">
        <v>0</v>
      </c>
      <c r="G26" s="18">
        <f>IF(AND(F65&lt;&gt;1312397,0&lt;&gt;0),IF(100*0/(F65-1312397)&lt;0.005,"*",100*0/(F65-1312397)),0)</f>
        <v>0</v>
      </c>
    </row>
    <row r="27" spans="1:7" x14ac:dyDescent="0.2">
      <c r="A27" s="11" t="s">
        <v>128</v>
      </c>
      <c r="B27" s="17">
        <v>25138</v>
      </c>
      <c r="C27" s="17">
        <v>0</v>
      </c>
      <c r="D27" s="17">
        <v>0</v>
      </c>
      <c r="E27" s="17">
        <v>0</v>
      </c>
      <c r="F27" s="17">
        <v>0</v>
      </c>
      <c r="G27" s="18">
        <f>IF(AND(F65&lt;&gt;1312397,0&lt;&gt;0),IF(100*0/(F65-1312397)&lt;0.005,"*",100*0/(F65-1312397)),0)</f>
        <v>0</v>
      </c>
    </row>
    <row r="28" spans="1:7" x14ac:dyDescent="0.2">
      <c r="A28" s="11" t="s">
        <v>129</v>
      </c>
      <c r="B28" s="17">
        <v>0</v>
      </c>
      <c r="C28" s="17">
        <v>0</v>
      </c>
      <c r="D28" s="17">
        <v>0</v>
      </c>
      <c r="E28" s="17">
        <v>0</v>
      </c>
      <c r="F28" s="17">
        <v>0</v>
      </c>
      <c r="G28" s="18">
        <f>IF(AND(F65&lt;&gt;1312397,0&lt;&gt;0),IF(100*0/(F65-1312397)&lt;0.005,"*",100*0/(F65-1312397)),0)</f>
        <v>0</v>
      </c>
    </row>
    <row r="29" spans="1:7" x14ac:dyDescent="0.2">
      <c r="A29" s="11" t="s">
        <v>130</v>
      </c>
      <c r="B29" s="17">
        <v>0</v>
      </c>
      <c r="C29" s="17">
        <v>0</v>
      </c>
      <c r="D29" s="17">
        <v>0</v>
      </c>
      <c r="E29" s="17">
        <v>0</v>
      </c>
      <c r="F29" s="17">
        <v>0</v>
      </c>
      <c r="G29" s="18">
        <f>IF(AND(F65&lt;&gt;1312397,0&lt;&gt;0),IF(100*0/(F65-1312397)&lt;0.005,"*",100*0/(F65-1312397)),0)</f>
        <v>0</v>
      </c>
    </row>
    <row r="30" spans="1:7" x14ac:dyDescent="0.2">
      <c r="A30" s="11" t="s">
        <v>131</v>
      </c>
      <c r="B30" s="17">
        <v>0</v>
      </c>
      <c r="C30" s="17">
        <v>0</v>
      </c>
      <c r="D30" s="17">
        <v>0</v>
      </c>
      <c r="E30" s="17">
        <v>0</v>
      </c>
      <c r="F30" s="17">
        <v>0</v>
      </c>
      <c r="G30" s="18">
        <f>IF(AND(F65&lt;&gt;1312397,0&lt;&gt;0),IF(100*0/(F65-1312397)&lt;0.005,"*",100*0/(F65-1312397)),0)</f>
        <v>0</v>
      </c>
    </row>
    <row r="31" spans="1:7" x14ac:dyDescent="0.2">
      <c r="A31" s="11" t="s">
        <v>132</v>
      </c>
      <c r="B31" s="17">
        <v>39317</v>
      </c>
      <c r="C31" s="17">
        <v>0</v>
      </c>
      <c r="D31" s="17">
        <v>0</v>
      </c>
      <c r="E31" s="17">
        <v>0</v>
      </c>
      <c r="F31" s="17">
        <v>0</v>
      </c>
      <c r="G31" s="18">
        <f>IF(AND(F65&lt;&gt;1312397,0&lt;&gt;0),IF(100*0/(F65-1312397)&lt;0.005,"*",100*0/(F65-1312397)),0)</f>
        <v>0</v>
      </c>
    </row>
    <row r="32" spans="1:7" x14ac:dyDescent="0.2">
      <c r="A32" s="11" t="s">
        <v>133</v>
      </c>
      <c r="B32" s="17">
        <v>0</v>
      </c>
      <c r="C32" s="17">
        <v>0</v>
      </c>
      <c r="D32" s="17">
        <v>0</v>
      </c>
      <c r="E32" s="17">
        <v>0</v>
      </c>
      <c r="F32" s="17">
        <v>0</v>
      </c>
      <c r="G32" s="18">
        <f>IF(AND(F65&lt;&gt;1312397,0&lt;&gt;0),IF(100*0/(F65-1312397)&lt;0.005,"*",100*0/(F65-1312397)),0)</f>
        <v>0</v>
      </c>
    </row>
    <row r="33" spans="1:7" x14ac:dyDescent="0.2">
      <c r="A33" s="11" t="s">
        <v>134</v>
      </c>
      <c r="B33" s="17">
        <v>0</v>
      </c>
      <c r="C33" s="17">
        <v>0</v>
      </c>
      <c r="D33" s="17">
        <v>0</v>
      </c>
      <c r="E33" s="17">
        <v>0</v>
      </c>
      <c r="F33" s="17">
        <v>0</v>
      </c>
      <c r="G33" s="18">
        <f>IF(AND(F65&lt;&gt;1312397,0&lt;&gt;0),IF(100*0/(F65-1312397)&lt;0.005,"*",100*0/(F65-1312397)),0)</f>
        <v>0</v>
      </c>
    </row>
    <row r="34" spans="1:7" x14ac:dyDescent="0.2">
      <c r="A34" s="11" t="s">
        <v>135</v>
      </c>
      <c r="B34" s="17">
        <v>0</v>
      </c>
      <c r="C34" s="17">
        <v>0</v>
      </c>
      <c r="D34" s="17">
        <v>0</v>
      </c>
      <c r="E34" s="17">
        <v>0</v>
      </c>
      <c r="F34" s="17">
        <v>0</v>
      </c>
      <c r="G34" s="18">
        <f>IF(AND(F65&lt;&gt;1312397,0&lt;&gt;0),IF(100*0/(F65-1312397)&lt;0.005,"*",100*0/(F65-1312397)),0)</f>
        <v>0</v>
      </c>
    </row>
    <row r="35" spans="1:7" x14ac:dyDescent="0.2">
      <c r="A35" s="11" t="s">
        <v>136</v>
      </c>
      <c r="B35" s="17">
        <v>0</v>
      </c>
      <c r="C35" s="17">
        <v>0</v>
      </c>
      <c r="D35" s="17">
        <v>0</v>
      </c>
      <c r="E35" s="17">
        <v>0</v>
      </c>
      <c r="F35" s="17">
        <v>0</v>
      </c>
      <c r="G35" s="18">
        <f>IF(AND(F65&lt;&gt;1312397,0&lt;&gt;0),IF(100*0/(F65-1312397)&lt;0.005,"*",100*0/(F65-1312397)),0)</f>
        <v>0</v>
      </c>
    </row>
    <row r="36" spans="1:7" x14ac:dyDescent="0.2">
      <c r="A36" s="11" t="s">
        <v>137</v>
      </c>
      <c r="B36" s="17">
        <v>1287693</v>
      </c>
      <c r="C36" s="17">
        <v>0</v>
      </c>
      <c r="D36" s="17">
        <v>0</v>
      </c>
      <c r="E36" s="17">
        <v>0</v>
      </c>
      <c r="F36" s="17">
        <v>0</v>
      </c>
      <c r="G36" s="18">
        <f>IF(AND(F65&lt;&gt;1312397,0&lt;&gt;0),IF(100*0/(F65-1312397)&lt;0.005,"*",100*0/(F65-1312397)),0)</f>
        <v>0</v>
      </c>
    </row>
    <row r="37" spans="1:7" x14ac:dyDescent="0.2">
      <c r="A37" s="11" t="s">
        <v>138</v>
      </c>
      <c r="B37" s="17">
        <v>0</v>
      </c>
      <c r="C37" s="17">
        <v>0</v>
      </c>
      <c r="D37" s="17">
        <v>0</v>
      </c>
      <c r="E37" s="17">
        <v>0</v>
      </c>
      <c r="F37" s="17">
        <v>0</v>
      </c>
      <c r="G37" s="18">
        <f>IF(AND(F65&lt;&gt;1312397,0&lt;&gt;0),IF(100*0/(F65-1312397)&lt;0.005,"*",100*0/(F65-1312397)),0)</f>
        <v>0</v>
      </c>
    </row>
    <row r="38" spans="1:7" x14ac:dyDescent="0.2">
      <c r="A38" s="11" t="s">
        <v>139</v>
      </c>
      <c r="B38" s="17">
        <v>3919558</v>
      </c>
      <c r="C38" s="17">
        <v>0</v>
      </c>
      <c r="D38" s="17">
        <v>0</v>
      </c>
      <c r="E38" s="17">
        <v>0</v>
      </c>
      <c r="F38" s="17">
        <v>0</v>
      </c>
      <c r="G38" s="18">
        <f>IF(AND(F65&lt;&gt;1312397,0&lt;&gt;0),IF(100*0/(F65-1312397)&lt;0.005,"*",100*0/(F65-1312397)),0)</f>
        <v>0</v>
      </c>
    </row>
    <row r="39" spans="1:7" x14ac:dyDescent="0.2">
      <c r="A39" s="11" t="s">
        <v>140</v>
      </c>
      <c r="B39" s="17">
        <v>198553</v>
      </c>
      <c r="C39" s="17">
        <v>37976</v>
      </c>
      <c r="D39" s="17">
        <v>0</v>
      </c>
      <c r="E39" s="17">
        <v>37976</v>
      </c>
      <c r="F39" s="17">
        <v>0</v>
      </c>
      <c r="G39" s="18">
        <f>IF(AND(F65&lt;&gt;1312397,0&lt;&gt;0),IF(100*0/(F65-1312397)&lt;0.005,"*",100*0/(F65-1312397)),0)</f>
        <v>0</v>
      </c>
    </row>
    <row r="40" spans="1:7" x14ac:dyDescent="0.2">
      <c r="A40" s="11" t="s">
        <v>141</v>
      </c>
      <c r="B40" s="17">
        <v>3461</v>
      </c>
      <c r="C40" s="17">
        <v>0</v>
      </c>
      <c r="D40" s="17">
        <v>0</v>
      </c>
      <c r="E40" s="17">
        <v>0</v>
      </c>
      <c r="F40" s="17">
        <v>0</v>
      </c>
      <c r="G40" s="18">
        <f>IF(AND(F65&lt;&gt;1312397,0&lt;&gt;0),IF(100*0/(F65-1312397)&lt;0.005,"*",100*0/(F65-1312397)),0)</f>
        <v>0</v>
      </c>
    </row>
    <row r="41" spans="1:7" x14ac:dyDescent="0.2">
      <c r="A41" s="11" t="s">
        <v>142</v>
      </c>
      <c r="B41" s="17">
        <v>0</v>
      </c>
      <c r="C41" s="17">
        <v>0</v>
      </c>
      <c r="D41" s="17">
        <v>0</v>
      </c>
      <c r="E41" s="17">
        <v>0</v>
      </c>
      <c r="F41" s="17">
        <v>0</v>
      </c>
      <c r="G41" s="18">
        <f>IF(AND(F65&lt;&gt;1312397,0&lt;&gt;0),IF(100*0/(F65-1312397)&lt;0.005,"*",100*0/(F65-1312397)),0)</f>
        <v>0</v>
      </c>
    </row>
    <row r="42" spans="1:7" x14ac:dyDescent="0.2">
      <c r="A42" s="11" t="s">
        <v>143</v>
      </c>
      <c r="B42" s="17">
        <v>38939</v>
      </c>
      <c r="C42" s="17">
        <v>0</v>
      </c>
      <c r="D42" s="17">
        <v>0</v>
      </c>
      <c r="E42" s="17">
        <v>0</v>
      </c>
      <c r="F42" s="17">
        <v>0</v>
      </c>
      <c r="G42" s="18">
        <f>IF(AND(F65&lt;&gt;1312397,0&lt;&gt;0),IF(100*0/(F65-1312397)&lt;0.005,"*",100*0/(F65-1312397)),0)</f>
        <v>0</v>
      </c>
    </row>
    <row r="43" spans="1:7" x14ac:dyDescent="0.2">
      <c r="A43" s="11" t="s">
        <v>144</v>
      </c>
      <c r="B43" s="17">
        <v>0</v>
      </c>
      <c r="C43" s="17">
        <v>0</v>
      </c>
      <c r="D43" s="17">
        <v>0</v>
      </c>
      <c r="E43" s="17">
        <v>0</v>
      </c>
      <c r="F43" s="17">
        <v>0</v>
      </c>
      <c r="G43" s="18">
        <f>IF(AND(F65&lt;&gt;1312397,0&lt;&gt;0),IF(100*0/(F65-1312397)&lt;0.005,"*",100*0/(F65-1312397)),0)</f>
        <v>0</v>
      </c>
    </row>
    <row r="44" spans="1:7" x14ac:dyDescent="0.2">
      <c r="A44" s="11" t="s">
        <v>145</v>
      </c>
      <c r="B44" s="17">
        <v>21061</v>
      </c>
      <c r="C44" s="17">
        <v>0</v>
      </c>
      <c r="D44" s="17">
        <v>0</v>
      </c>
      <c r="E44" s="17">
        <v>0</v>
      </c>
      <c r="F44" s="17">
        <v>0</v>
      </c>
      <c r="G44" s="18">
        <f>IF(AND(F65&lt;&gt;1312397,0&lt;&gt;0),IF(100*0/(F65-1312397)&lt;0.005,"*",100*0/(F65-1312397)),0)</f>
        <v>0</v>
      </c>
    </row>
    <row r="45" spans="1:7" x14ac:dyDescent="0.2">
      <c r="A45" s="11" t="s">
        <v>146</v>
      </c>
      <c r="B45" s="17">
        <v>5253</v>
      </c>
      <c r="C45" s="17">
        <v>0</v>
      </c>
      <c r="D45" s="17">
        <v>0</v>
      </c>
      <c r="E45" s="17">
        <v>0</v>
      </c>
      <c r="F45" s="17">
        <v>0</v>
      </c>
      <c r="G45" s="18">
        <f>IF(AND(F65&lt;&gt;1312397,0&lt;&gt;0),IF(100*0/(F65-1312397)&lt;0.005,"*",100*0/(F65-1312397)),0)</f>
        <v>0</v>
      </c>
    </row>
    <row r="46" spans="1:7" x14ac:dyDescent="0.2">
      <c r="A46" s="11" t="s">
        <v>147</v>
      </c>
      <c r="B46" s="17">
        <v>221969</v>
      </c>
      <c r="C46" s="17">
        <v>78110</v>
      </c>
      <c r="D46" s="17">
        <v>0</v>
      </c>
      <c r="E46" s="17">
        <v>78110</v>
      </c>
      <c r="F46" s="17">
        <v>0</v>
      </c>
      <c r="G46" s="18">
        <f>IF(AND(F65&lt;&gt;1312397,0&lt;&gt;0),IF(100*0/(F65-1312397)&lt;0.005,"*",100*0/(F65-1312397)),0)</f>
        <v>0</v>
      </c>
    </row>
    <row r="47" spans="1:7" x14ac:dyDescent="0.2">
      <c r="A47" s="11" t="s">
        <v>148</v>
      </c>
      <c r="B47" s="17">
        <v>0</v>
      </c>
      <c r="C47" s="17">
        <v>0</v>
      </c>
      <c r="D47" s="17">
        <v>0</v>
      </c>
      <c r="E47" s="17">
        <v>0</v>
      </c>
      <c r="F47" s="17">
        <v>0</v>
      </c>
      <c r="G47" s="18">
        <f>IF(AND(F65&lt;&gt;1312397,0&lt;&gt;0),IF(100*0/(F65-1312397)&lt;0.005,"*",100*0/(F65-1312397)),0)</f>
        <v>0</v>
      </c>
    </row>
    <row r="48" spans="1:7" x14ac:dyDescent="0.2">
      <c r="A48" s="11" t="s">
        <v>149</v>
      </c>
      <c r="B48" s="17">
        <v>109558</v>
      </c>
      <c r="C48" s="17">
        <v>0</v>
      </c>
      <c r="D48" s="17">
        <v>0</v>
      </c>
      <c r="E48" s="17">
        <v>0</v>
      </c>
      <c r="F48" s="17">
        <v>0</v>
      </c>
      <c r="G48" s="18">
        <f>IF(AND(F65&lt;&gt;1312397,0&lt;&gt;0),IF(100*0/(F65-1312397)&lt;0.005,"*",100*0/(F65-1312397)),0)</f>
        <v>0</v>
      </c>
    </row>
    <row r="49" spans="1:7" x14ac:dyDescent="0.2">
      <c r="A49" s="11" t="s">
        <v>150</v>
      </c>
      <c r="B49" s="17">
        <v>142336</v>
      </c>
      <c r="C49" s="17">
        <v>1605867</v>
      </c>
      <c r="D49" s="17">
        <v>0</v>
      </c>
      <c r="E49" s="17">
        <v>1605867</v>
      </c>
      <c r="F49" s="17">
        <v>3768161</v>
      </c>
      <c r="G49" s="18">
        <f>IF(AND(F65&lt;&gt;1312397,3768161&lt;&gt;0),IF(100*3768161/(F65-1312397)&lt;0.005,"*",100*3768161/(F65-1312397)),0)</f>
        <v>89.079651251990796</v>
      </c>
    </row>
    <row r="50" spans="1:7" x14ac:dyDescent="0.2">
      <c r="A50" s="11" t="s">
        <v>151</v>
      </c>
      <c r="B50" s="17">
        <v>0</v>
      </c>
      <c r="C50" s="17">
        <v>0</v>
      </c>
      <c r="D50" s="17">
        <v>0</v>
      </c>
      <c r="E50" s="17">
        <v>0</v>
      </c>
      <c r="F50" s="17">
        <v>0</v>
      </c>
      <c r="G50" s="18">
        <f>IF(AND(F65&lt;&gt;1312397,0&lt;&gt;0),IF(100*0/(F65-1312397)&lt;0.005,"*",100*0/(F65-1312397)),0)</f>
        <v>0</v>
      </c>
    </row>
    <row r="51" spans="1:7" x14ac:dyDescent="0.2">
      <c r="A51" s="11" t="s">
        <v>152</v>
      </c>
      <c r="B51" s="17">
        <v>0</v>
      </c>
      <c r="C51" s="17">
        <v>0</v>
      </c>
      <c r="D51" s="17">
        <v>0</v>
      </c>
      <c r="E51" s="17">
        <v>0</v>
      </c>
      <c r="F51" s="17">
        <v>0</v>
      </c>
      <c r="G51" s="18">
        <f>IF(AND(F65&lt;&gt;1312397,0&lt;&gt;0),IF(100*0/(F65-1312397)&lt;0.005,"*",100*0/(F65-1312397)),0)</f>
        <v>0</v>
      </c>
    </row>
    <row r="52" spans="1:7" x14ac:dyDescent="0.2">
      <c r="A52" s="11" t="s">
        <v>153</v>
      </c>
      <c r="B52" s="17">
        <v>120549</v>
      </c>
      <c r="C52" s="17">
        <v>0</v>
      </c>
      <c r="D52" s="17">
        <v>0</v>
      </c>
      <c r="E52" s="17">
        <v>0</v>
      </c>
      <c r="F52" s="17">
        <v>0</v>
      </c>
      <c r="G52" s="18">
        <f>IF(AND(F65&lt;&gt;1312397,0&lt;&gt;0),IF(100*0/(F65-1312397)&lt;0.005,"*",100*0/(F65-1312397)),0)</f>
        <v>0</v>
      </c>
    </row>
    <row r="53" spans="1:7" x14ac:dyDescent="0.2">
      <c r="A53" s="11" t="s">
        <v>154</v>
      </c>
      <c r="B53" s="17">
        <v>0</v>
      </c>
      <c r="C53" s="17">
        <v>0</v>
      </c>
      <c r="D53" s="17">
        <v>0</v>
      </c>
      <c r="E53" s="17">
        <v>0</v>
      </c>
      <c r="F53" s="17">
        <v>0</v>
      </c>
      <c r="G53" s="18">
        <f>IF(AND(F65&lt;&gt;1312397,0&lt;&gt;0),IF(100*0/(F65-1312397)&lt;0.005,"*",100*0/(F65-1312397)),0)</f>
        <v>0</v>
      </c>
    </row>
    <row r="54" spans="1:7" x14ac:dyDescent="0.2">
      <c r="A54" s="11" t="s">
        <v>155</v>
      </c>
      <c r="B54" s="17">
        <v>104280</v>
      </c>
      <c r="C54" s="17">
        <v>45595</v>
      </c>
      <c r="D54" s="17">
        <v>0</v>
      </c>
      <c r="E54" s="17">
        <v>45595</v>
      </c>
      <c r="F54" s="17">
        <v>0</v>
      </c>
      <c r="G54" s="18">
        <f>IF(AND(F65&lt;&gt;1312397,0&lt;&gt;0),IF(100*0/(F65-1312397)&lt;0.005,"*",100*0/(F65-1312397)),0)</f>
        <v>0</v>
      </c>
    </row>
    <row r="55" spans="1:7" x14ac:dyDescent="0.2">
      <c r="A55" s="11" t="s">
        <v>156</v>
      </c>
      <c r="B55" s="17">
        <v>0</v>
      </c>
      <c r="C55" s="17">
        <v>0</v>
      </c>
      <c r="D55" s="17">
        <v>0</v>
      </c>
      <c r="E55" s="17">
        <v>0</v>
      </c>
      <c r="F55" s="17">
        <v>0</v>
      </c>
      <c r="G55" s="18">
        <f>IF(AND(F65&lt;&gt;1312397,0&lt;&gt;0),IF(100*0/(F65-1312397)&lt;0.005,"*",100*0/(F65-1312397)),0)</f>
        <v>0</v>
      </c>
    </row>
    <row r="56" spans="1:7" x14ac:dyDescent="0.2">
      <c r="A56" s="11" t="s">
        <v>157</v>
      </c>
      <c r="B56" s="17">
        <v>0</v>
      </c>
      <c r="C56" s="17">
        <v>0</v>
      </c>
      <c r="D56" s="17">
        <v>0</v>
      </c>
      <c r="E56" s="17">
        <v>0</v>
      </c>
      <c r="F56" s="17">
        <v>0</v>
      </c>
      <c r="G56" s="18">
        <f>IF(AND(F65&lt;&gt;1312397,0&lt;&gt;0),IF(100*0/(F65-1312397)&lt;0.005,"*",100*0/(F65-1312397)),0)</f>
        <v>0</v>
      </c>
    </row>
    <row r="57" spans="1:7" x14ac:dyDescent="0.2">
      <c r="A57" s="11" t="s">
        <v>158</v>
      </c>
      <c r="B57" s="17">
        <v>0</v>
      </c>
      <c r="C57" s="17">
        <v>0</v>
      </c>
      <c r="D57" s="17">
        <v>0</v>
      </c>
      <c r="E57" s="17">
        <v>0</v>
      </c>
      <c r="F57" s="17">
        <v>0</v>
      </c>
      <c r="G57" s="18">
        <f>IF(AND(F65&lt;&gt;1312397,0&lt;&gt;0),IF(100*0/(F65-1312397)&lt;0.005,"*",100*0/(F65-1312397)),0)</f>
        <v>0</v>
      </c>
    </row>
    <row r="58" spans="1:7" x14ac:dyDescent="0.2">
      <c r="A58" s="11" t="s">
        <v>159</v>
      </c>
      <c r="B58" s="17">
        <v>0</v>
      </c>
      <c r="C58" s="17">
        <v>0</v>
      </c>
      <c r="D58" s="17">
        <v>0</v>
      </c>
      <c r="E58" s="17">
        <v>0</v>
      </c>
      <c r="F58" s="17">
        <v>0</v>
      </c>
      <c r="G58" s="18">
        <f>IF(AND(F65&lt;&gt;1312397,0&lt;&gt;0),IF(100*0/(F65-1312397)&lt;0.005,"*",100*0/(F65-1312397)),0)</f>
        <v>0</v>
      </c>
    </row>
    <row r="59" spans="1:7" x14ac:dyDescent="0.2">
      <c r="A59" s="11" t="s">
        <v>160</v>
      </c>
      <c r="B59" s="17">
        <v>0</v>
      </c>
      <c r="C59" s="17">
        <v>0</v>
      </c>
      <c r="D59" s="17">
        <v>0</v>
      </c>
      <c r="E59" s="17">
        <v>0</v>
      </c>
      <c r="F59" s="17">
        <v>0</v>
      </c>
      <c r="G59" s="18">
        <f>IF(AND(F65&lt;&gt;1312397,0&lt;&gt;0),IF(100*0/(F65-1312397)&lt;0.005,"*",100*0/(F65-1312397)),0)</f>
        <v>0</v>
      </c>
    </row>
    <row r="60" spans="1:7" x14ac:dyDescent="0.2">
      <c r="A60" s="11" t="s">
        <v>161</v>
      </c>
      <c r="B60" s="17">
        <v>0</v>
      </c>
      <c r="C60" s="17">
        <v>0</v>
      </c>
      <c r="D60" s="17">
        <v>0</v>
      </c>
      <c r="E60" s="17">
        <v>0</v>
      </c>
      <c r="F60" s="17">
        <v>0</v>
      </c>
      <c r="G60" s="18">
        <f>IF(AND(F65&lt;&gt;1312397,0&lt;&gt;0),IF(100*0/(F65-1312397)&lt;0.005,"*",100*0/(F65-1312397)),0)</f>
        <v>0</v>
      </c>
    </row>
    <row r="61" spans="1:7" x14ac:dyDescent="0.2">
      <c r="A61" s="11" t="s">
        <v>162</v>
      </c>
      <c r="B61" s="17">
        <v>0</v>
      </c>
      <c r="C61" s="17">
        <v>0</v>
      </c>
      <c r="D61" s="17">
        <v>0</v>
      </c>
      <c r="E61" s="17">
        <v>0</v>
      </c>
      <c r="F61" s="17">
        <v>0</v>
      </c>
      <c r="G61" s="18">
        <f>IF(AND(F65&lt;&gt;1312397,0&lt;&gt;0),IF(100*0/(F65-1312397)&lt;0.005,"*",100*0/(F65-1312397)),0)</f>
        <v>0</v>
      </c>
    </row>
    <row r="62" spans="1:7" x14ac:dyDescent="0.2">
      <c r="A62" s="11" t="s">
        <v>163</v>
      </c>
      <c r="B62" s="17">
        <v>0</v>
      </c>
      <c r="C62" s="17">
        <v>0</v>
      </c>
      <c r="D62" s="17">
        <v>0</v>
      </c>
      <c r="E62" s="17">
        <v>0</v>
      </c>
      <c r="F62" s="17">
        <v>0</v>
      </c>
      <c r="G62" s="18">
        <f>IF(AND(F65&lt;&gt;1312397,0&lt;&gt;0),IF(100*0/(F65-1312397)&lt;0.005,"*",100*0/(F65-1312397)),0)</f>
        <v>0</v>
      </c>
    </row>
    <row r="63" spans="1:7" x14ac:dyDescent="0.2">
      <c r="A63" s="11" t="s">
        <v>164</v>
      </c>
      <c r="B63" s="17">
        <v>0</v>
      </c>
      <c r="C63" s="17">
        <v>0</v>
      </c>
      <c r="D63" s="17">
        <v>0</v>
      </c>
      <c r="E63" s="17">
        <v>0</v>
      </c>
      <c r="F63" s="17">
        <v>0</v>
      </c>
      <c r="G63" s="18">
        <f>IF(AND(F65&lt;&gt;1312397,0&lt;&gt;0),IF(100*0/(F65-1312397)&lt;0.005,"*",100*0/(F65-1312397)),0)</f>
        <v>0</v>
      </c>
    </row>
    <row r="64" spans="1:7" x14ac:dyDescent="0.2">
      <c r="A64" s="11" t="s">
        <v>165</v>
      </c>
      <c r="B64" s="17">
        <v>0</v>
      </c>
      <c r="C64" s="17">
        <v>437466</v>
      </c>
      <c r="D64" s="17">
        <v>0</v>
      </c>
      <c r="E64" s="17">
        <v>437466</v>
      </c>
      <c r="F64" s="17">
        <v>1312397</v>
      </c>
      <c r="G64" s="18">
        <v>0</v>
      </c>
    </row>
    <row r="65" spans="1:7" ht="15" customHeight="1" x14ac:dyDescent="0.2">
      <c r="A65" s="19" t="s">
        <v>106</v>
      </c>
      <c r="B65" s="20">
        <f>28641+0+0+0+70359+118023+113556+0+0+58602+0+0+0+58641+0+96887+0+0+2016127+0+5200+25138+0+0+0+39317+0+0+0+0+1287693+0+3919558+198553+3461+0+38939+0+21061+5253+221969+0+109558+142336+0+0+120549+0+104280+0+0+0+0+0+0+0+0+0+0+0</f>
        <v>8803701</v>
      </c>
      <c r="C65" s="20">
        <f>0+0+0+0+0+0+0+0+0+213316+0+0+0+0+0+0+0+0+51435+0+0+0+0+0+0+0+0+0+0+0+0+0+0+37976+0+0+0+0+0+0+78110+0+0+1605867+0+0+0+0+45595+0+0+0+0+0+0+0+0+0+437466+0</f>
        <v>2469765</v>
      </c>
      <c r="D65" s="20">
        <f>0+0+0+0+0+0+0+0+0+0+0+0+0+0+0+0+0+0+0+0+0+0+0+0+0+0+0+0+0+0+0+0+0+0+0+0+0+0+0+0+0+0+0+0+0+0+0+0+0+0+0+0+0+0+0+0+0+0+0+0</f>
        <v>0</v>
      </c>
      <c r="E65" s="20">
        <f>SUM(C65:D65)</f>
        <v>2469765</v>
      </c>
      <c r="F65" s="20">
        <f>0+0+0+0+0+0+0+0+0+461942+0+0+0+0+0+0+0+0+0+0+0+0+0+0+0+0+0+0+0+0+0+0+0+0+0+0+0+0+0+0+0+0+0+3768161+0+0+0+0+0+0+0+0+0+0+0+0+0+0+1312397+0</f>
        <v>5542500</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357</v>
      </c>
      <c r="B1" s="10"/>
      <c r="C1" s="10"/>
      <c r="D1" s="10"/>
      <c r="E1" s="10"/>
      <c r="F1" s="10"/>
      <c r="G1" s="12" t="s">
        <v>358</v>
      </c>
    </row>
    <row r="2" spans="1:7" x14ac:dyDescent="0.2">
      <c r="A2" s="13" t="s">
        <v>359</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28834</v>
      </c>
      <c r="C6" s="17">
        <v>0</v>
      </c>
      <c r="D6" s="17">
        <v>28199</v>
      </c>
      <c r="E6" s="17">
        <v>28199</v>
      </c>
      <c r="F6" s="17">
        <v>26515</v>
      </c>
      <c r="G6" s="18">
        <f>IF(AND(F67&lt;&gt;0,26515&lt;&gt;0),IF(100*26515/(F67-0)&lt;0.005,"*",100*26515/(F67-0)),0)</f>
        <v>1.1477818353081328</v>
      </c>
    </row>
    <row r="7" spans="1:7" x14ac:dyDescent="0.2">
      <c r="A7" s="11" t="s">
        <v>108</v>
      </c>
      <c r="B7" s="17">
        <v>24305</v>
      </c>
      <c r="C7" s="17">
        <v>0</v>
      </c>
      <c r="D7" s="17">
        <v>23703</v>
      </c>
      <c r="E7" s="17">
        <v>23703</v>
      </c>
      <c r="F7" s="17">
        <v>22350</v>
      </c>
      <c r="G7" s="18">
        <f>IF(AND(F67&lt;&gt;0,22350&lt;&gt;0),IF(100*22350/(F67-0)&lt;0.005,"*",100*22350/(F67-0)),0)</f>
        <v>0.96748723436306872</v>
      </c>
    </row>
    <row r="8" spans="1:7" x14ac:dyDescent="0.2">
      <c r="A8" s="11" t="s">
        <v>109</v>
      </c>
      <c r="B8" s="17">
        <v>32725</v>
      </c>
      <c r="C8" s="17">
        <v>0</v>
      </c>
      <c r="D8" s="17">
        <v>31914</v>
      </c>
      <c r="E8" s="17">
        <v>31914</v>
      </c>
      <c r="F8" s="17">
        <v>30093</v>
      </c>
      <c r="G8" s="18">
        <f>IF(AND(F67&lt;&gt;0,30093&lt;&gt;0),IF(100*30093/(F67-0)&lt;0.005,"*",100*30093/(F67-0)),0)</f>
        <v>1.302666368845093</v>
      </c>
    </row>
    <row r="9" spans="1:7" x14ac:dyDescent="0.2">
      <c r="A9" s="11" t="s">
        <v>110</v>
      </c>
      <c r="B9" s="17">
        <v>19347</v>
      </c>
      <c r="C9" s="17">
        <v>0</v>
      </c>
      <c r="D9" s="17">
        <v>18868</v>
      </c>
      <c r="E9" s="17">
        <v>18868</v>
      </c>
      <c r="F9" s="17">
        <v>17791</v>
      </c>
      <c r="G9" s="18">
        <f>IF(AND(F67&lt;&gt;0,17791&lt;&gt;0),IF(100*17791/(F67-0)&lt;0.005,"*",100*17791/(F67-0)),0)</f>
        <v>0.77013715376077652</v>
      </c>
    </row>
    <row r="10" spans="1:7" x14ac:dyDescent="0.2">
      <c r="A10" s="11" t="s">
        <v>111</v>
      </c>
      <c r="B10" s="17">
        <v>363582</v>
      </c>
      <c r="C10" s="17">
        <v>0</v>
      </c>
      <c r="D10" s="17">
        <v>354571</v>
      </c>
      <c r="E10" s="17">
        <v>354571</v>
      </c>
      <c r="F10" s="17">
        <v>334342</v>
      </c>
      <c r="G10" s="18">
        <f>IF(AND(F67&lt;&gt;0,334342&lt;&gt;0),IF(100*334342/(F67-0)&lt;0.005,"*",100*334342/(F67-0)),0)</f>
        <v>14.473002993799424</v>
      </c>
    </row>
    <row r="11" spans="1:7" x14ac:dyDescent="0.2">
      <c r="A11" s="11" t="s">
        <v>112</v>
      </c>
      <c r="B11" s="17">
        <v>36839</v>
      </c>
      <c r="C11" s="17">
        <v>0</v>
      </c>
      <c r="D11" s="17">
        <v>35926</v>
      </c>
      <c r="E11" s="17">
        <v>35926</v>
      </c>
      <c r="F11" s="17">
        <v>33876</v>
      </c>
      <c r="G11" s="18">
        <f>IF(AND(F67&lt;&gt;0,33876&lt;&gt;0),IF(100*33876/(F67-0)&lt;0.005,"*",100*33876/(F67-0)),0)</f>
        <v>1.4664249463661438</v>
      </c>
    </row>
    <row r="12" spans="1:7" x14ac:dyDescent="0.2">
      <c r="A12" s="11" t="s">
        <v>113</v>
      </c>
      <c r="B12" s="17">
        <v>54196</v>
      </c>
      <c r="C12" s="17">
        <v>0</v>
      </c>
      <c r="D12" s="17">
        <v>52853</v>
      </c>
      <c r="E12" s="17">
        <v>52853</v>
      </c>
      <c r="F12" s="17">
        <v>49837</v>
      </c>
      <c r="G12" s="18">
        <f>IF(AND(F67&lt;&gt;0,49837&lt;&gt;0),IF(100*49837/(F67-0)&lt;0.005,"*",100*49837/(F67-0)),0)</f>
        <v>2.1573450245616224</v>
      </c>
    </row>
    <row r="13" spans="1:7" x14ac:dyDescent="0.2">
      <c r="A13" s="11" t="s">
        <v>114</v>
      </c>
      <c r="B13" s="17">
        <v>8650</v>
      </c>
      <c r="C13" s="17">
        <v>0</v>
      </c>
      <c r="D13" s="17">
        <v>8435</v>
      </c>
      <c r="E13" s="17">
        <v>8435</v>
      </c>
      <c r="F13" s="17">
        <v>7954</v>
      </c>
      <c r="G13" s="18">
        <f>IF(AND(F67&lt;&gt;0,7954&lt;&gt;0),IF(100*7954/(F67-0)&lt;0.005,"*",100*7954/(F67-0)),0)</f>
        <v>0.34431290658272257</v>
      </c>
    </row>
    <row r="14" spans="1:7" x14ac:dyDescent="0.2">
      <c r="A14" s="11" t="s">
        <v>115</v>
      </c>
      <c r="B14" s="17">
        <v>10493</v>
      </c>
      <c r="C14" s="17">
        <v>0</v>
      </c>
      <c r="D14" s="17">
        <v>10233</v>
      </c>
      <c r="E14" s="17">
        <v>10233</v>
      </c>
      <c r="F14" s="17">
        <v>9649</v>
      </c>
      <c r="G14" s="18">
        <f>IF(AND(F67&lt;&gt;0,9649&lt;&gt;0),IF(100*9649/(F67-0)&lt;0.005,"*",100*9649/(F67-0)),0)</f>
        <v>0.41768609952435126</v>
      </c>
    </row>
    <row r="15" spans="1:7" x14ac:dyDescent="0.2">
      <c r="A15" s="11" t="s">
        <v>116</v>
      </c>
      <c r="B15" s="17">
        <v>86854</v>
      </c>
      <c r="C15" s="17">
        <v>0</v>
      </c>
      <c r="D15" s="17">
        <v>84701</v>
      </c>
      <c r="E15" s="17">
        <v>84701</v>
      </c>
      <c r="F15" s="17">
        <v>79869</v>
      </c>
      <c r="G15" s="18">
        <f>IF(AND(F67&lt;&gt;0,79869&lt;&gt;0),IF(100*79869/(F67-0)&lt;0.005,"*",100*79869/(F67-0)),0)</f>
        <v>3.4573708242212051</v>
      </c>
    </row>
    <row r="16" spans="1:7" x14ac:dyDescent="0.2">
      <c r="A16" s="11" t="s">
        <v>117</v>
      </c>
      <c r="B16" s="17">
        <v>56449</v>
      </c>
      <c r="C16" s="17">
        <v>0</v>
      </c>
      <c r="D16" s="17">
        <v>55050</v>
      </c>
      <c r="E16" s="17">
        <v>55050</v>
      </c>
      <c r="F16" s="17">
        <v>51909</v>
      </c>
      <c r="G16" s="18">
        <f>IF(AND(F67&lt;&gt;0,51909&lt;&gt;0),IF(100*51909/(F67-0)&lt;0.005,"*",100*51909/(F67-0)),0)</f>
        <v>2.2470378008300909</v>
      </c>
    </row>
    <row r="17" spans="1:7" x14ac:dyDescent="0.2">
      <c r="A17" s="11" t="s">
        <v>118</v>
      </c>
      <c r="B17" s="17">
        <v>13527</v>
      </c>
      <c r="C17" s="17">
        <v>0</v>
      </c>
      <c r="D17" s="17">
        <v>13191</v>
      </c>
      <c r="E17" s="17">
        <v>13191</v>
      </c>
      <c r="F17" s="17">
        <v>12439</v>
      </c>
      <c r="G17" s="18">
        <f>IF(AND(F67&lt;&gt;0,12439&lt;&gt;0),IF(100*12439/(F67-0)&lt;0.005,"*",100*12439/(F67-0)),0)</f>
        <v>0.53845967374685511</v>
      </c>
    </row>
    <row r="18" spans="1:7" x14ac:dyDescent="0.2">
      <c r="A18" s="11" t="s">
        <v>119</v>
      </c>
      <c r="B18" s="17">
        <v>23092</v>
      </c>
      <c r="C18" s="17">
        <v>0</v>
      </c>
      <c r="D18" s="17">
        <v>22520</v>
      </c>
      <c r="E18" s="17">
        <v>22520</v>
      </c>
      <c r="F18" s="17">
        <v>21235</v>
      </c>
      <c r="G18" s="18">
        <f>IF(AND(F67&lt;&gt;0,21235&lt;&gt;0),IF(100*21235/(F67-0)&lt;0.005,"*",100*21235/(F67-0)),0)</f>
        <v>0.91922109269350183</v>
      </c>
    </row>
    <row r="19" spans="1:7" x14ac:dyDescent="0.2">
      <c r="A19" s="11" t="s">
        <v>120</v>
      </c>
      <c r="B19" s="17">
        <v>152577</v>
      </c>
      <c r="C19" s="17">
        <v>0</v>
      </c>
      <c r="D19" s="17">
        <v>148796</v>
      </c>
      <c r="E19" s="17">
        <v>148796</v>
      </c>
      <c r="F19" s="17">
        <v>140307</v>
      </c>
      <c r="G19" s="18">
        <f>IF(AND(F67&lt;&gt;0,140307&lt;&gt;0),IF(100*140307/(F67-0)&lt;0.005,"*",100*140307/(F67-0)),0)</f>
        <v>6.0736121428089076</v>
      </c>
    </row>
    <row r="20" spans="1:7" x14ac:dyDescent="0.2">
      <c r="A20" s="11" t="s">
        <v>121</v>
      </c>
      <c r="B20" s="17">
        <v>39190</v>
      </c>
      <c r="C20" s="17">
        <v>0</v>
      </c>
      <c r="D20" s="17">
        <v>38218</v>
      </c>
      <c r="E20" s="17">
        <v>38218</v>
      </c>
      <c r="F20" s="17">
        <v>36038</v>
      </c>
      <c r="G20" s="18">
        <f>IF(AND(F67&lt;&gt;0,36038&lt;&gt;0),IF(100*36038/(F67-0)&lt;0.005,"*",100*36038/(F67-0)),0)</f>
        <v>1.5600136443837258</v>
      </c>
    </row>
    <row r="21" spans="1:7" x14ac:dyDescent="0.2">
      <c r="A21" s="11" t="s">
        <v>122</v>
      </c>
      <c r="B21" s="17">
        <v>25502</v>
      </c>
      <c r="C21" s="17">
        <v>0</v>
      </c>
      <c r="D21" s="17">
        <v>24870</v>
      </c>
      <c r="E21" s="17">
        <v>24870</v>
      </c>
      <c r="F21" s="17">
        <v>23452</v>
      </c>
      <c r="G21" s="18">
        <f>IF(AND(F67&lt;&gt;0,23452&lt;&gt;0),IF(100*23452/(F67-0)&lt;0.005,"*",100*23452/(F67-0)),0)</f>
        <v>1.0151906317799861</v>
      </c>
    </row>
    <row r="22" spans="1:7" x14ac:dyDescent="0.2">
      <c r="A22" s="11" t="s">
        <v>123</v>
      </c>
      <c r="B22" s="17">
        <v>17680</v>
      </c>
      <c r="C22" s="17">
        <v>0</v>
      </c>
      <c r="D22" s="17">
        <v>17241</v>
      </c>
      <c r="E22" s="17">
        <v>17241</v>
      </c>
      <c r="F22" s="17">
        <v>16258</v>
      </c>
      <c r="G22" s="18">
        <f>IF(AND(F67&lt;&gt;0,16258&lt;&gt;0),IF(100*16258/(F67-0)&lt;0.005,"*",100*16258/(F67-0)),0)</f>
        <v>0.70377661996755125</v>
      </c>
    </row>
    <row r="23" spans="1:7" x14ac:dyDescent="0.2">
      <c r="A23" s="11" t="s">
        <v>124</v>
      </c>
      <c r="B23" s="17">
        <v>27512</v>
      </c>
      <c r="C23" s="17">
        <v>0</v>
      </c>
      <c r="D23" s="17">
        <v>26830</v>
      </c>
      <c r="E23" s="17">
        <v>26830</v>
      </c>
      <c r="F23" s="17">
        <v>25299</v>
      </c>
      <c r="G23" s="18">
        <f>IF(AND(F67&lt;&gt;0,25299&lt;&gt;0),IF(100*25299/(F67-0)&lt;0.005,"*",100*25299/(F67-0)),0)</f>
        <v>1.0951436036756723</v>
      </c>
    </row>
    <row r="24" spans="1:7" x14ac:dyDescent="0.2">
      <c r="A24" s="11" t="s">
        <v>125</v>
      </c>
      <c r="B24" s="17">
        <v>26379</v>
      </c>
      <c r="C24" s="17">
        <v>0</v>
      </c>
      <c r="D24" s="17">
        <v>25725</v>
      </c>
      <c r="E24" s="17">
        <v>25725</v>
      </c>
      <c r="F24" s="17">
        <v>24258</v>
      </c>
      <c r="G24" s="18">
        <f>IF(AND(F67&lt;&gt;0,24258&lt;&gt;0),IF(100*24258/(F67-0)&lt;0.005,"*",100*24258/(F67-0)),0)</f>
        <v>1.0500807754442649</v>
      </c>
    </row>
    <row r="25" spans="1:7" x14ac:dyDescent="0.2">
      <c r="A25" s="11" t="s">
        <v>126</v>
      </c>
      <c r="B25" s="17">
        <v>12708</v>
      </c>
      <c r="C25" s="17">
        <v>0</v>
      </c>
      <c r="D25" s="17">
        <v>12393</v>
      </c>
      <c r="E25" s="17">
        <v>12393</v>
      </c>
      <c r="F25" s="17">
        <v>11686</v>
      </c>
      <c r="G25" s="18">
        <f>IF(AND(F67&lt;&gt;0,11686&lt;&gt;0),IF(100*11686/(F67-0)&lt;0.005,"*",100*11686/(F67-0)),0)</f>
        <v>0.50586379511260948</v>
      </c>
    </row>
    <row r="26" spans="1:7" x14ac:dyDescent="0.2">
      <c r="A26" s="11" t="s">
        <v>127</v>
      </c>
      <c r="B26" s="17">
        <v>53543</v>
      </c>
      <c r="C26" s="17">
        <v>0</v>
      </c>
      <c r="D26" s="17">
        <v>52216</v>
      </c>
      <c r="E26" s="17">
        <v>52216</v>
      </c>
      <c r="F26" s="17">
        <v>49237</v>
      </c>
      <c r="G26" s="18">
        <f>IF(AND(F67&lt;&gt;0,49237&lt;&gt;0),IF(100*49237/(F67-0)&lt;0.005,"*",100*49237/(F67-0)),0)</f>
        <v>2.1313722129008688</v>
      </c>
    </row>
    <row r="27" spans="1:7" x14ac:dyDescent="0.2">
      <c r="A27" s="11" t="s">
        <v>128</v>
      </c>
      <c r="B27" s="17">
        <v>61159</v>
      </c>
      <c r="C27" s="17">
        <v>0</v>
      </c>
      <c r="D27" s="17">
        <v>59643</v>
      </c>
      <c r="E27" s="17">
        <v>59643</v>
      </c>
      <c r="F27" s="17">
        <v>56240</v>
      </c>
      <c r="G27" s="18">
        <f>IF(AND(F67&lt;&gt;0,56240&lt;&gt;0),IF(100*56240/(F67-0)&lt;0.005,"*",100*56240/(F67-0)),0)</f>
        <v>2.4345182130012968</v>
      </c>
    </row>
    <row r="28" spans="1:7" x14ac:dyDescent="0.2">
      <c r="A28" s="11" t="s">
        <v>129</v>
      </c>
      <c r="B28" s="17">
        <v>117114</v>
      </c>
      <c r="C28" s="17">
        <v>0</v>
      </c>
      <c r="D28" s="17">
        <v>114212</v>
      </c>
      <c r="E28" s="17">
        <v>114212</v>
      </c>
      <c r="F28" s="17">
        <v>107696</v>
      </c>
      <c r="G28" s="18">
        <f>IF(AND(F67&lt;&gt;0,107696&lt;&gt;0),IF(100*107696/(F67-0)&lt;0.005,"*",100*107696/(F67-0)),0)</f>
        <v>4.6619465410275192</v>
      </c>
    </row>
    <row r="29" spans="1:7" x14ac:dyDescent="0.2">
      <c r="A29" s="11" t="s">
        <v>130</v>
      </c>
      <c r="B29" s="17">
        <v>43078</v>
      </c>
      <c r="C29" s="17">
        <v>0</v>
      </c>
      <c r="D29" s="17">
        <v>42010</v>
      </c>
      <c r="E29" s="17">
        <v>42010</v>
      </c>
      <c r="F29" s="17">
        <v>39614</v>
      </c>
      <c r="G29" s="18">
        <f>IF(AND(F67&lt;&gt;0,39614&lt;&gt;0),IF(100*39614/(F67-0)&lt;0.005,"*",100*39614/(F67-0)),0)</f>
        <v>1.7148116018818167</v>
      </c>
    </row>
    <row r="30" spans="1:7" x14ac:dyDescent="0.2">
      <c r="A30" s="11" t="s">
        <v>131</v>
      </c>
      <c r="B30" s="17">
        <v>23238</v>
      </c>
      <c r="C30" s="17">
        <v>0</v>
      </c>
      <c r="D30" s="17">
        <v>22662</v>
      </c>
      <c r="E30" s="17">
        <v>22662</v>
      </c>
      <c r="F30" s="17">
        <v>21369</v>
      </c>
      <c r="G30" s="18">
        <f>IF(AND(F67&lt;&gt;0,21369&lt;&gt;0),IF(100*21369/(F67-0)&lt;0.005,"*",100*21369/(F67-0)),0)</f>
        <v>0.92502168729773671</v>
      </c>
    </row>
    <row r="31" spans="1:7" x14ac:dyDescent="0.2">
      <c r="A31" s="11" t="s">
        <v>132</v>
      </c>
      <c r="B31" s="17">
        <v>39101</v>
      </c>
      <c r="C31" s="17">
        <v>0</v>
      </c>
      <c r="D31" s="17">
        <v>38132</v>
      </c>
      <c r="E31" s="17">
        <v>38132</v>
      </c>
      <c r="F31" s="17">
        <v>35957</v>
      </c>
      <c r="G31" s="18">
        <f>IF(AND(F67&lt;&gt;0,35957&lt;&gt;0),IF(100*35957/(F67-0)&lt;0.005,"*",100*35957/(F67-0)),0)</f>
        <v>1.5565073148095241</v>
      </c>
    </row>
    <row r="32" spans="1:7" x14ac:dyDescent="0.2">
      <c r="A32" s="11" t="s">
        <v>133</v>
      </c>
      <c r="B32" s="17">
        <v>8786</v>
      </c>
      <c r="C32" s="17">
        <v>0</v>
      </c>
      <c r="D32" s="17">
        <v>8568</v>
      </c>
      <c r="E32" s="17">
        <v>8568</v>
      </c>
      <c r="F32" s="17">
        <v>8079</v>
      </c>
      <c r="G32" s="18">
        <f>IF(AND(F67&lt;&gt;0,8079&lt;&gt;0),IF(100*8079/(F67-0)&lt;0.005,"*",100*8079/(F67-0)),0)</f>
        <v>0.3497239090120462</v>
      </c>
    </row>
    <row r="33" spans="1:7" x14ac:dyDescent="0.2">
      <c r="A33" s="11" t="s">
        <v>134</v>
      </c>
      <c r="B33" s="17">
        <v>13724</v>
      </c>
      <c r="C33" s="17">
        <v>0</v>
      </c>
      <c r="D33" s="17">
        <v>13384</v>
      </c>
      <c r="E33" s="17">
        <v>13384</v>
      </c>
      <c r="F33" s="17">
        <v>12620</v>
      </c>
      <c r="G33" s="18">
        <f>IF(AND(F67&lt;&gt;0,12620&lt;&gt;0),IF(100*12620/(F67-0)&lt;0.005,"*",100*12620/(F67-0)),0)</f>
        <v>0.54629480526451579</v>
      </c>
    </row>
    <row r="34" spans="1:7" x14ac:dyDescent="0.2">
      <c r="A34" s="11" t="s">
        <v>135</v>
      </c>
      <c r="B34" s="17">
        <v>24123</v>
      </c>
      <c r="C34" s="17">
        <v>0</v>
      </c>
      <c r="D34" s="17">
        <v>23525</v>
      </c>
      <c r="E34" s="17">
        <v>23525</v>
      </c>
      <c r="F34" s="17">
        <v>22183</v>
      </c>
      <c r="G34" s="18">
        <f>IF(AND(F67&lt;&gt;0,22183&lt;&gt;0),IF(100*22183/(F67-0)&lt;0.005,"*",100*22183/(F67-0)),0)</f>
        <v>0.96025813511749236</v>
      </c>
    </row>
    <row r="35" spans="1:7" x14ac:dyDescent="0.2">
      <c r="A35" s="11" t="s">
        <v>136</v>
      </c>
      <c r="B35" s="17">
        <v>11477</v>
      </c>
      <c r="C35" s="17">
        <v>0</v>
      </c>
      <c r="D35" s="17">
        <v>11192</v>
      </c>
      <c r="E35" s="17">
        <v>11192</v>
      </c>
      <c r="F35" s="17">
        <v>10554</v>
      </c>
      <c r="G35" s="18">
        <f>IF(AND(F67&lt;&gt;0,10554&lt;&gt;0),IF(100*10554/(F67-0)&lt;0.005,"*",100*10554/(F67-0)),0)</f>
        <v>0.45686175711265448</v>
      </c>
    </row>
    <row r="36" spans="1:7" x14ac:dyDescent="0.2">
      <c r="A36" s="11" t="s">
        <v>137</v>
      </c>
      <c r="B36" s="17">
        <v>107956</v>
      </c>
      <c r="C36" s="17">
        <v>0</v>
      </c>
      <c r="D36" s="17">
        <v>105280</v>
      </c>
      <c r="E36" s="17">
        <v>105280</v>
      </c>
      <c r="F36" s="17">
        <v>99274</v>
      </c>
      <c r="G36" s="18">
        <f>IF(AND(F67&lt;&gt;0,99274&lt;&gt;0),IF(100*99274/(F67-0)&lt;0.005,"*",100*99274/(F67-0)),0)</f>
        <v>4.2973748413494084</v>
      </c>
    </row>
    <row r="37" spans="1:7" x14ac:dyDescent="0.2">
      <c r="A37" s="11" t="s">
        <v>138</v>
      </c>
      <c r="B37" s="17">
        <v>13679</v>
      </c>
      <c r="C37" s="17">
        <v>0</v>
      </c>
      <c r="D37" s="17">
        <v>13340</v>
      </c>
      <c r="E37" s="17">
        <v>13340</v>
      </c>
      <c r="F37" s="17">
        <v>12579</v>
      </c>
      <c r="G37" s="18">
        <f>IF(AND(F67&lt;&gt;0,12579&lt;&gt;0),IF(100*12579/(F67-0)&lt;0.005,"*",100*12579/(F67-0)),0)</f>
        <v>0.54451999646769766</v>
      </c>
    </row>
    <row r="38" spans="1:7" x14ac:dyDescent="0.2">
      <c r="A38" s="11" t="s">
        <v>139</v>
      </c>
      <c r="B38" s="17">
        <v>175873</v>
      </c>
      <c r="C38" s="17">
        <v>0</v>
      </c>
      <c r="D38" s="17">
        <v>171514</v>
      </c>
      <c r="E38" s="17">
        <v>171514</v>
      </c>
      <c r="F38" s="17">
        <v>161729</v>
      </c>
      <c r="G38" s="18">
        <f>IF(AND(F67&lt;&gt;0,161729&lt;&gt;0),IF(100*161729/(F67-0)&lt;0.005,"*",100*161729/(F67-0)),0)</f>
        <v>7.0009280951366772</v>
      </c>
    </row>
    <row r="39" spans="1:7" x14ac:dyDescent="0.2">
      <c r="A39" s="11" t="s">
        <v>140</v>
      </c>
      <c r="B39" s="17">
        <v>53531</v>
      </c>
      <c r="C39" s="17">
        <v>0</v>
      </c>
      <c r="D39" s="17">
        <v>52204</v>
      </c>
      <c r="E39" s="17">
        <v>52204</v>
      </c>
      <c r="F39" s="17">
        <v>49226</v>
      </c>
      <c r="G39" s="18">
        <f>IF(AND(F67&lt;&gt;0,49226&lt;&gt;0),IF(100*49226/(F67-0)&lt;0.005,"*",100*49226/(F67-0)),0)</f>
        <v>2.1308960446870882</v>
      </c>
    </row>
    <row r="40" spans="1:7" x14ac:dyDescent="0.2">
      <c r="A40" s="11" t="s">
        <v>141</v>
      </c>
      <c r="B40" s="17">
        <v>13689</v>
      </c>
      <c r="C40" s="17">
        <v>0</v>
      </c>
      <c r="D40" s="17">
        <v>13350</v>
      </c>
      <c r="E40" s="17">
        <v>13350</v>
      </c>
      <c r="F40" s="17">
        <v>12589</v>
      </c>
      <c r="G40" s="18">
        <f>IF(AND(F67&lt;&gt;0,12589&lt;&gt;0),IF(100*12589/(F67-0)&lt;0.005,"*",100*12589/(F67-0)),0)</f>
        <v>0.54495287666204351</v>
      </c>
    </row>
    <row r="41" spans="1:7" x14ac:dyDescent="0.2">
      <c r="A41" s="11" t="s">
        <v>142</v>
      </c>
      <c r="B41" s="17">
        <v>78856</v>
      </c>
      <c r="C41" s="17">
        <v>0</v>
      </c>
      <c r="D41" s="17">
        <v>76902</v>
      </c>
      <c r="E41" s="17">
        <v>76902</v>
      </c>
      <c r="F41" s="17">
        <v>19806</v>
      </c>
      <c r="G41" s="18">
        <f>IF(AND(F67&lt;&gt;0,19806&lt;&gt;0),IF(100*19806/(F67-0)&lt;0.005,"*",100*19806/(F67-0)),0)</f>
        <v>0.85736251292147381</v>
      </c>
    </row>
    <row r="42" spans="1:7" x14ac:dyDescent="0.2">
      <c r="A42" s="11" t="s">
        <v>143</v>
      </c>
      <c r="B42" s="17">
        <v>21539</v>
      </c>
      <c r="C42" s="17">
        <v>0</v>
      </c>
      <c r="D42" s="17">
        <v>21005</v>
      </c>
      <c r="E42" s="17">
        <v>21005</v>
      </c>
      <c r="F42" s="17">
        <v>19806</v>
      </c>
      <c r="G42" s="18">
        <f>IF(AND(F67&lt;&gt;0,19806&lt;&gt;0),IF(100*19806/(F67-0)&lt;0.005,"*",100*19806/(F67-0)),0)</f>
        <v>0.85736251292147381</v>
      </c>
    </row>
    <row r="43" spans="1:7" x14ac:dyDescent="0.2">
      <c r="A43" s="11" t="s">
        <v>144</v>
      </c>
      <c r="B43" s="17">
        <v>47787</v>
      </c>
      <c r="C43" s="17">
        <v>0</v>
      </c>
      <c r="D43" s="17">
        <v>46603</v>
      </c>
      <c r="E43" s="17">
        <v>46603</v>
      </c>
      <c r="F43" s="17">
        <v>43944</v>
      </c>
      <c r="G43" s="18">
        <f>IF(AND(F67&lt;&gt;0,43944&lt;&gt;0),IF(100*43944/(F67-0)&lt;0.005,"*",100*43944/(F67-0)),0)</f>
        <v>1.9022487260335881</v>
      </c>
    </row>
    <row r="44" spans="1:7" x14ac:dyDescent="0.2">
      <c r="A44" s="11" t="s">
        <v>145</v>
      </c>
      <c r="B44" s="17">
        <v>121041</v>
      </c>
      <c r="C44" s="17">
        <v>0</v>
      </c>
      <c r="D44" s="17">
        <v>118041</v>
      </c>
      <c r="E44" s="17">
        <v>118041</v>
      </c>
      <c r="F44" s="17">
        <v>111306</v>
      </c>
      <c r="G44" s="18">
        <f>IF(AND(F67&lt;&gt;0,111306&lt;&gt;0),IF(100*111306/(F67-0)&lt;0.005,"*",100*111306/(F67-0)),0)</f>
        <v>4.8182162911863857</v>
      </c>
    </row>
    <row r="45" spans="1:7" x14ac:dyDescent="0.2">
      <c r="A45" s="11" t="s">
        <v>146</v>
      </c>
      <c r="B45" s="17">
        <v>13539</v>
      </c>
      <c r="C45" s="17">
        <v>0</v>
      </c>
      <c r="D45" s="17">
        <v>13204</v>
      </c>
      <c r="E45" s="17">
        <v>13204</v>
      </c>
      <c r="F45" s="17">
        <v>12451</v>
      </c>
      <c r="G45" s="18">
        <f>IF(AND(F67&lt;&gt;0,12451&lt;&gt;0),IF(100*12451/(F67-0)&lt;0.005,"*",100*12451/(F67-0)),0)</f>
        <v>0.53897912998007025</v>
      </c>
    </row>
    <row r="46" spans="1:7" x14ac:dyDescent="0.2">
      <c r="A46" s="11" t="s">
        <v>147</v>
      </c>
      <c r="B46" s="17">
        <v>26837</v>
      </c>
      <c r="C46" s="17">
        <v>0</v>
      </c>
      <c r="D46" s="17">
        <v>26172</v>
      </c>
      <c r="E46" s="17">
        <v>26172</v>
      </c>
      <c r="F46" s="17">
        <v>24679</v>
      </c>
      <c r="G46" s="18">
        <f>IF(AND(F67&lt;&gt;0,24679&lt;&gt;0),IF(100*24679/(F67-0)&lt;0.005,"*",100*24679/(F67-0)),0)</f>
        <v>1.068305031626227</v>
      </c>
    </row>
    <row r="47" spans="1:7" x14ac:dyDescent="0.2">
      <c r="A47" s="11" t="s">
        <v>148</v>
      </c>
      <c r="B47" s="17">
        <v>5014</v>
      </c>
      <c r="C47" s="17">
        <v>0</v>
      </c>
      <c r="D47" s="17">
        <v>4889</v>
      </c>
      <c r="E47" s="17">
        <v>4889</v>
      </c>
      <c r="F47" s="17">
        <v>4610</v>
      </c>
      <c r="G47" s="18">
        <f>IF(AND(F67&lt;&gt;0,4610&lt;&gt;0),IF(100*4610/(F67-0)&lt;0.005,"*",100*4610/(F67-0)),0)</f>
        <v>0.19955776959345622</v>
      </c>
    </row>
    <row r="48" spans="1:7" x14ac:dyDescent="0.2">
      <c r="A48" s="11" t="s">
        <v>149</v>
      </c>
      <c r="B48" s="17">
        <v>34065</v>
      </c>
      <c r="C48" s="17">
        <v>0</v>
      </c>
      <c r="D48" s="17">
        <v>33221</v>
      </c>
      <c r="E48" s="17">
        <v>33221</v>
      </c>
      <c r="F48" s="17">
        <v>31326</v>
      </c>
      <c r="G48" s="18">
        <f>IF(AND(F67&lt;&gt;0,31326&lt;&gt;0),IF(100*31326/(F67-0)&lt;0.005,"*",100*31326/(F67-0)),0)</f>
        <v>1.3560404968079414</v>
      </c>
    </row>
    <row r="49" spans="1:7" x14ac:dyDescent="0.2">
      <c r="A49" s="11" t="s">
        <v>150</v>
      </c>
      <c r="B49" s="17">
        <v>134772</v>
      </c>
      <c r="C49" s="17">
        <v>0</v>
      </c>
      <c r="D49" s="17">
        <v>131432</v>
      </c>
      <c r="E49" s="17">
        <v>131432</v>
      </c>
      <c r="F49" s="17">
        <v>123934</v>
      </c>
      <c r="G49" s="18">
        <f>IF(AND(F67&lt;&gt;0,123934&lt;&gt;0),IF(100*123934/(F67-0)&lt;0.005,"*",100*123934/(F67-0)),0)</f>
        <v>5.3648574006063789</v>
      </c>
    </row>
    <row r="50" spans="1:7" x14ac:dyDescent="0.2">
      <c r="A50" s="11" t="s">
        <v>151</v>
      </c>
      <c r="B50" s="17">
        <v>24328</v>
      </c>
      <c r="C50" s="17">
        <v>0</v>
      </c>
      <c r="D50" s="17">
        <v>23725</v>
      </c>
      <c r="E50" s="17">
        <v>23725</v>
      </c>
      <c r="F50" s="17">
        <v>22372</v>
      </c>
      <c r="G50" s="18">
        <f>IF(AND(F67&lt;&gt;0,22372&lt;&gt;0),IF(100*22372/(F67-0)&lt;0.005,"*",100*22372/(F67-0)),0)</f>
        <v>0.9684395707906297</v>
      </c>
    </row>
    <row r="51" spans="1:7" x14ac:dyDescent="0.2">
      <c r="A51" s="11" t="s">
        <v>152</v>
      </c>
      <c r="B51" s="17">
        <v>10576</v>
      </c>
      <c r="C51" s="17">
        <v>0</v>
      </c>
      <c r="D51" s="17">
        <v>10314</v>
      </c>
      <c r="E51" s="17">
        <v>10314</v>
      </c>
      <c r="F51" s="17">
        <v>9726</v>
      </c>
      <c r="G51" s="18">
        <f>IF(AND(F67&lt;&gt;0,9726&lt;&gt;0),IF(100*9726/(F67-0)&lt;0.005,"*",100*9726/(F67-0)),0)</f>
        <v>0.4210192770208146</v>
      </c>
    </row>
    <row r="52" spans="1:7" x14ac:dyDescent="0.2">
      <c r="A52" s="11" t="s">
        <v>153</v>
      </c>
      <c r="B52" s="17">
        <v>40412</v>
      </c>
      <c r="C52" s="17">
        <v>0</v>
      </c>
      <c r="D52" s="17">
        <v>39411</v>
      </c>
      <c r="E52" s="17">
        <v>39411</v>
      </c>
      <c r="F52" s="17">
        <v>37162</v>
      </c>
      <c r="G52" s="18">
        <f>IF(AND(F67&lt;&gt;0,37162&lt;&gt;0),IF(100*37162/(F67-0)&lt;0.005,"*",100*37162/(F67-0)),0)</f>
        <v>1.608669378228204</v>
      </c>
    </row>
    <row r="53" spans="1:7" x14ac:dyDescent="0.2">
      <c r="A53" s="11" t="s">
        <v>154</v>
      </c>
      <c r="B53" s="17">
        <v>81182</v>
      </c>
      <c r="C53" s="17">
        <v>0</v>
      </c>
      <c r="D53" s="17">
        <v>79170</v>
      </c>
      <c r="E53" s="17">
        <v>79170</v>
      </c>
      <c r="F53" s="17">
        <v>74653</v>
      </c>
      <c r="G53" s="18">
        <f>IF(AND(F67&lt;&gt;0,74653&lt;&gt;0),IF(100*74653/(F67-0)&lt;0.005,"*",100*74653/(F67-0)),0)</f>
        <v>3.2315805148503878</v>
      </c>
    </row>
    <row r="54" spans="1:7" x14ac:dyDescent="0.2">
      <c r="A54" s="11" t="s">
        <v>155</v>
      </c>
      <c r="B54" s="17">
        <v>13392</v>
      </c>
      <c r="C54" s="17">
        <v>0</v>
      </c>
      <c r="D54" s="17">
        <v>13061</v>
      </c>
      <c r="E54" s="17">
        <v>13061</v>
      </c>
      <c r="F54" s="17">
        <v>12315</v>
      </c>
      <c r="G54" s="18">
        <f>IF(AND(F67&lt;&gt;0,12315&lt;&gt;0),IF(100*12315/(F67-0)&lt;0.005,"*",100*12315/(F67-0)),0)</f>
        <v>0.53309195933696607</v>
      </c>
    </row>
    <row r="55" spans="1:7" x14ac:dyDescent="0.2">
      <c r="A55" s="11" t="s">
        <v>156</v>
      </c>
      <c r="B55" s="17">
        <v>58494</v>
      </c>
      <c r="C55" s="17">
        <v>0</v>
      </c>
      <c r="D55" s="17">
        <v>57044</v>
      </c>
      <c r="E55" s="17">
        <v>57044</v>
      </c>
      <c r="F55" s="17">
        <v>53790</v>
      </c>
      <c r="G55" s="18">
        <f>IF(AND(F67&lt;&gt;0,53790&lt;&gt;0),IF(100*53790/(F67-0)&lt;0.005,"*",100*53790/(F67-0)),0)</f>
        <v>2.3284625653865532</v>
      </c>
    </row>
    <row r="56" spans="1:7" x14ac:dyDescent="0.2">
      <c r="A56" s="11" t="s">
        <v>157</v>
      </c>
      <c r="B56" s="17">
        <v>8610</v>
      </c>
      <c r="C56" s="17">
        <v>0</v>
      </c>
      <c r="D56" s="17">
        <v>8397</v>
      </c>
      <c r="E56" s="17">
        <v>8397</v>
      </c>
      <c r="F56" s="17">
        <v>7918</v>
      </c>
      <c r="G56" s="18">
        <f>IF(AND(F67&lt;&gt;0,7918&lt;&gt;0),IF(100*7918/(F67-0)&lt;0.005,"*",100*7918/(F67-0)),0)</f>
        <v>0.3427545378830773</v>
      </c>
    </row>
    <row r="57" spans="1:7" x14ac:dyDescent="0.2">
      <c r="A57" s="11" t="s">
        <v>158</v>
      </c>
      <c r="B57" s="17">
        <v>0</v>
      </c>
      <c r="C57" s="17">
        <v>0</v>
      </c>
      <c r="D57" s="17">
        <v>0</v>
      </c>
      <c r="E57" s="17">
        <v>0</v>
      </c>
      <c r="F57" s="17">
        <v>0</v>
      </c>
      <c r="G57" s="18">
        <f>IF(AND(F67&lt;&gt;0,0&lt;&gt;0),IF(100*0/(F67-0)&lt;0.005,"*",100*0/(F67-0)),0)</f>
        <v>0</v>
      </c>
    </row>
    <row r="58" spans="1:7" x14ac:dyDescent="0.2">
      <c r="A58" s="11" t="s">
        <v>159</v>
      </c>
      <c r="B58" s="17">
        <v>0</v>
      </c>
      <c r="C58" s="17">
        <v>0</v>
      </c>
      <c r="D58" s="17">
        <v>0</v>
      </c>
      <c r="E58" s="17">
        <v>0</v>
      </c>
      <c r="F58" s="17">
        <v>0</v>
      </c>
      <c r="G58" s="18">
        <f>IF(AND(F67&lt;&gt;0,0&lt;&gt;0),IF(100*0/(F67-0)&lt;0.005,"*",100*0/(F67-0)),0)</f>
        <v>0</v>
      </c>
    </row>
    <row r="59" spans="1:7" x14ac:dyDescent="0.2">
      <c r="A59" s="11" t="s">
        <v>160</v>
      </c>
      <c r="B59" s="17">
        <v>0</v>
      </c>
      <c r="C59" s="17">
        <v>0</v>
      </c>
      <c r="D59" s="17">
        <v>0</v>
      </c>
      <c r="E59" s="17">
        <v>0</v>
      </c>
      <c r="F59" s="17">
        <v>0</v>
      </c>
      <c r="G59" s="18">
        <f>IF(AND(F67&lt;&gt;0,0&lt;&gt;0),IF(100*0/(F67-0)&lt;0.005,"*",100*0/(F67-0)),0)</f>
        <v>0</v>
      </c>
    </row>
    <row r="60" spans="1:7" x14ac:dyDescent="0.2">
      <c r="A60" s="11" t="s">
        <v>161</v>
      </c>
      <c r="B60" s="17">
        <v>15653</v>
      </c>
      <c r="C60" s="17">
        <v>0</v>
      </c>
      <c r="D60" s="17">
        <v>15265</v>
      </c>
      <c r="E60" s="17">
        <v>15265</v>
      </c>
      <c r="F60" s="17">
        <v>14394</v>
      </c>
      <c r="G60" s="18">
        <f>IF(AND(F67&lt;&gt;0,14394&lt;&gt;0),IF(100*14394/(F67-0)&lt;0.005,"*",100*14394/(F67-0)),0)</f>
        <v>0.62308775174147701</v>
      </c>
    </row>
    <row r="61" spans="1:7" x14ac:dyDescent="0.2">
      <c r="A61" s="11" t="s">
        <v>162</v>
      </c>
      <c r="B61" s="17">
        <v>0</v>
      </c>
      <c r="C61" s="17">
        <v>0</v>
      </c>
      <c r="D61" s="17">
        <v>0</v>
      </c>
      <c r="E61" s="17">
        <v>0</v>
      </c>
      <c r="F61" s="17">
        <v>0</v>
      </c>
      <c r="G61" s="18">
        <f>IF(AND(F67&lt;&gt;0,0&lt;&gt;0),IF(100*0/(F67-0)&lt;0.005,"*",100*0/(F67-0)),0)</f>
        <v>0</v>
      </c>
    </row>
    <row r="62" spans="1:7" x14ac:dyDescent="0.2">
      <c r="A62" s="11" t="s">
        <v>163</v>
      </c>
      <c r="B62" s="17">
        <v>2236</v>
      </c>
      <c r="C62" s="17">
        <v>0</v>
      </c>
      <c r="D62" s="17">
        <v>2181</v>
      </c>
      <c r="E62" s="17">
        <v>2181</v>
      </c>
      <c r="F62" s="17">
        <v>2056</v>
      </c>
      <c r="G62" s="18">
        <f>IF(AND(F67&lt;&gt;0,2056&lt;&gt;0),IF(100*2056/(F67-0)&lt;0.005,"*",100*2056/(F67-0)),0)</f>
        <v>8.9000167957515405E-2</v>
      </c>
    </row>
    <row r="63" spans="1:7" x14ac:dyDescent="0.2">
      <c r="A63" s="11" t="s">
        <v>164</v>
      </c>
      <c r="B63" s="17">
        <v>0</v>
      </c>
      <c r="C63" s="17">
        <v>0</v>
      </c>
      <c r="D63" s="17">
        <v>0</v>
      </c>
      <c r="E63" s="17">
        <v>0</v>
      </c>
      <c r="F63" s="17">
        <v>0</v>
      </c>
      <c r="G63" s="18">
        <f>IF(AND(F67&lt;&gt;0,0&lt;&gt;0),IF(100*0/(F67-0)&lt;0.005,"*",100*0/(F67-0)),0)</f>
        <v>0</v>
      </c>
    </row>
    <row r="64" spans="1:7" x14ac:dyDescent="0.2">
      <c r="A64" s="11" t="s">
        <v>165</v>
      </c>
      <c r="B64" s="17">
        <v>0</v>
      </c>
      <c r="C64" s="17">
        <v>0</v>
      </c>
      <c r="D64" s="17">
        <v>0</v>
      </c>
      <c r="E64" s="17">
        <v>0</v>
      </c>
      <c r="F64" s="17">
        <v>0</v>
      </c>
      <c r="G64" s="18">
        <v>0</v>
      </c>
    </row>
    <row r="65" spans="1:7" x14ac:dyDescent="0.2">
      <c r="A65" s="11" t="s">
        <v>360</v>
      </c>
      <c r="B65" s="17">
        <v>1765</v>
      </c>
      <c r="C65" s="17">
        <v>0</v>
      </c>
      <c r="D65" s="17">
        <v>1721</v>
      </c>
      <c r="E65" s="17">
        <v>1721</v>
      </c>
      <c r="F65" s="17">
        <v>1623</v>
      </c>
      <c r="G65" s="18">
        <f>IF(AND(F67&lt;&gt;0,1623&lt;&gt;0),IF(100*1623/(F67-0)&lt;0.005,"*",100*1623/(F67-0)),0)</f>
        <v>7.0256455542338281E-2</v>
      </c>
    </row>
    <row r="66" spans="1:7" ht="16.5" customHeight="1" x14ac:dyDescent="0.2">
      <c r="A66" s="11" t="s">
        <v>361</v>
      </c>
      <c r="B66" s="17">
        <v>8845</v>
      </c>
      <c r="C66" s="17">
        <v>0</v>
      </c>
      <c r="D66" s="17">
        <v>8626</v>
      </c>
      <c r="E66" s="17">
        <v>8626</v>
      </c>
      <c r="F66" s="17">
        <v>8134</v>
      </c>
      <c r="G66" s="18">
        <f>IF(AND(F67&lt;&gt;0,8134&lt;&gt;0),IF(100*8134/(F67-0)&lt;0.005,"*",100*8134/(F67-0)),0)</f>
        <v>0.3521047500809486</v>
      </c>
    </row>
    <row r="67" spans="1:7" ht="15" customHeight="1" x14ac:dyDescent="0.2">
      <c r="A67" s="19" t="s">
        <v>106</v>
      </c>
      <c r="B67" s="20">
        <f>28834+24305+32725+19347+363582+36839+54196+8650+10493+86854+56449+13527+23092+152577+39190+25502+17680+27512+26379+12708+53543+61159+117114+43078+23238+39101+8786+13724+24123+11477+107956+13679+175873+53531+13689+78856+21539+47787+121041+13539+26837+5014+34065+134772+24328+10576+40412+81182+13392+58494+8610+0+0+0+15653+0+2236+0+0+1765+8845+0</f>
        <v>2569455</v>
      </c>
      <c r="C67" s="20">
        <f>0+0+0+0+0+0+0+0+0+0+0+0+0+0+0+0+0+0+0+0+0+0+0+0+0+0+0+0+0+0+0+0+0+0+0+0+0+0+0+0+0+0+0+0+0+0+0+0+0+0+0+0+0+0+0+0+0+0+0+0+0+0</f>
        <v>0</v>
      </c>
      <c r="D67" s="20">
        <f>28199+23703+31914+18868+354571+35926+52853+8435+10233+84701+55050+13191+22520+148796+38218+24870+17241+26830+25725+12393+52216+59643+114212+42010+22662+38132+8568+13384+23525+11192+105280+13340+171514+52204+13350+76902+21005+46603+118041+13204+26172+4889+33221+131432+23725+10314+39411+79170+13061+57044+8397+0+0+0+15265+0+2181+0+0+1721+8626+0</f>
        <v>2505853</v>
      </c>
      <c r="E67" s="20">
        <f>SUM(C67:D67)</f>
        <v>2505853</v>
      </c>
      <c r="F67" s="20">
        <f>26515+22350+30093+17791+334342+33876+49837+7954+9649+79869+51909+12439+21235+140307+36038+23452+16258+25299+24258+11686+49237+56240+107696+39614+21369+35957+8079+12620+22183+10554+99274+12579+161729+49226+12589+19806+19806+43944+111306+12451+24679+4610+31326+123934+22372+9726+37162+74653+12315+53790+7918+0+0+0+14394+0+2056+0+0+1623+8134+0</f>
        <v>2310108</v>
      </c>
      <c r="G67" s="21" t="s">
        <v>166</v>
      </c>
    </row>
    <row r="68" spans="1:7" ht="15" customHeight="1" x14ac:dyDescent="0.2">
      <c r="A68" s="65" t="s">
        <v>168</v>
      </c>
      <c r="B68" s="65"/>
      <c r="C68" s="65"/>
      <c r="D68" s="65"/>
      <c r="E68" s="65"/>
      <c r="F68" s="65"/>
      <c r="G68" s="65"/>
    </row>
  </sheetData>
  <mergeCells count="5">
    <mergeCell ref="A68:G68"/>
    <mergeCell ref="A4:A5"/>
    <mergeCell ref="B4:B5"/>
    <mergeCell ref="F4:F5"/>
    <mergeCell ref="G4:G5"/>
  </mergeCells>
  <pageMargins left="0.7" right="0.7" top="0.75" bottom="0.75" header="0.3" footer="0.3"/>
  <pageSetup scale="7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362</v>
      </c>
      <c r="B1" s="10"/>
      <c r="C1" s="10"/>
      <c r="D1" s="10"/>
      <c r="E1" s="10"/>
      <c r="F1" s="10"/>
      <c r="G1" s="12" t="s">
        <v>363</v>
      </c>
    </row>
    <row r="2" spans="1:7" x14ac:dyDescent="0.2">
      <c r="A2" s="13" t="s">
        <v>364</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63650</v>
      </c>
      <c r="C6" s="17">
        <v>42183</v>
      </c>
      <c r="D6" s="17">
        <v>31823</v>
      </c>
      <c r="E6" s="17">
        <v>74006</v>
      </c>
      <c r="F6" s="17">
        <v>72318</v>
      </c>
      <c r="G6" s="18">
        <f>IF(AND(F65&lt;&gt;85000,72318&lt;&gt;0),IF(100*72318/(F65-85000)&lt;0.005,"*",100*72318/(F65-85000)),0)</f>
        <v>0.64679355213423628</v>
      </c>
    </row>
    <row r="7" spans="1:7" x14ac:dyDescent="0.2">
      <c r="A7" s="11" t="s">
        <v>108</v>
      </c>
      <c r="B7" s="17">
        <v>68737</v>
      </c>
      <c r="C7" s="17">
        <v>45555</v>
      </c>
      <c r="D7" s="17">
        <v>34366</v>
      </c>
      <c r="E7" s="17">
        <v>79921</v>
      </c>
      <c r="F7" s="17">
        <v>78097</v>
      </c>
      <c r="G7" s="18">
        <f>IF(AND(F65&lt;&gt;85000,78097&lt;&gt;0),IF(100*78097/(F65-85000)&lt;0.005,"*",100*78097/(F65-85000)),0)</f>
        <v>0.69847943860487638</v>
      </c>
    </row>
    <row r="8" spans="1:7" x14ac:dyDescent="0.2">
      <c r="A8" s="11" t="s">
        <v>109</v>
      </c>
      <c r="B8" s="17">
        <v>94778</v>
      </c>
      <c r="C8" s="17">
        <v>62813</v>
      </c>
      <c r="D8" s="17">
        <v>47385</v>
      </c>
      <c r="E8" s="17">
        <v>110198</v>
      </c>
      <c r="F8" s="17">
        <v>107685</v>
      </c>
      <c r="G8" s="18">
        <f>IF(AND(F65&lt;&gt;85000,107685&lt;&gt;0),IF(100*107685/(F65-85000)&lt;0.005,"*",100*107685/(F65-85000)),0)</f>
        <v>0.96310688433827307</v>
      </c>
    </row>
    <row r="9" spans="1:7" x14ac:dyDescent="0.2">
      <c r="A9" s="11" t="s">
        <v>110</v>
      </c>
      <c r="B9" s="17">
        <v>32372</v>
      </c>
      <c r="C9" s="17">
        <v>21454</v>
      </c>
      <c r="D9" s="17">
        <v>16185</v>
      </c>
      <c r="E9" s="17">
        <v>37639</v>
      </c>
      <c r="F9" s="17">
        <v>36780</v>
      </c>
      <c r="G9" s="18">
        <f>IF(AND(F65&lt;&gt;85000,36780&lt;&gt;0),IF(100*36780/(F65-85000)&lt;0.005,"*",100*36780/(F65-85000)),0)</f>
        <v>0.32895084000521602</v>
      </c>
    </row>
    <row r="10" spans="1:7" x14ac:dyDescent="0.2">
      <c r="A10" s="11" t="s">
        <v>111</v>
      </c>
      <c r="B10" s="17">
        <v>1757177</v>
      </c>
      <c r="C10" s="17">
        <v>1164546</v>
      </c>
      <c r="D10" s="17">
        <v>878517</v>
      </c>
      <c r="E10" s="17">
        <v>2043063</v>
      </c>
      <c r="F10" s="17">
        <v>1996459</v>
      </c>
      <c r="G10" s="18">
        <f>IF(AND(F65&lt;&gt;85000,1996459&lt;&gt;0),IF(100*1996459/(F65-85000)&lt;0.005,"*",100*1996459/(F65-85000)),0)</f>
        <v>17.855814711418528</v>
      </c>
    </row>
    <row r="11" spans="1:7" x14ac:dyDescent="0.2">
      <c r="A11" s="11" t="s">
        <v>112</v>
      </c>
      <c r="B11" s="17">
        <v>139133</v>
      </c>
      <c r="C11" s="17">
        <v>92208</v>
      </c>
      <c r="D11" s="17">
        <v>69561</v>
      </c>
      <c r="E11" s="17">
        <v>161769</v>
      </c>
      <c r="F11" s="17">
        <v>158079</v>
      </c>
      <c r="G11" s="18">
        <f>IF(AND(F65&lt;&gt;85000,158079&lt;&gt;0),IF(100*158079/(F65-85000)&lt;0.005,"*",100*158079/(F65-85000)),0)</f>
        <v>1.4138178313535763</v>
      </c>
    </row>
    <row r="12" spans="1:7" x14ac:dyDescent="0.2">
      <c r="A12" s="11" t="s">
        <v>113</v>
      </c>
      <c r="B12" s="17">
        <v>176887</v>
      </c>
      <c r="C12" s="17">
        <v>117230</v>
      </c>
      <c r="D12" s="17">
        <v>88436</v>
      </c>
      <c r="E12" s="17">
        <v>205666</v>
      </c>
      <c r="F12" s="17">
        <v>200975</v>
      </c>
      <c r="G12" s="18">
        <f>IF(AND(F65&lt;&gt;85000,200975&lt;&gt;0),IF(100*200975/(F65-85000)&lt;0.005,"*",100*200975/(F65-85000)),0)</f>
        <v>1.7974685989681425</v>
      </c>
    </row>
    <row r="13" spans="1:7" x14ac:dyDescent="0.2">
      <c r="A13" s="11" t="s">
        <v>114</v>
      </c>
      <c r="B13" s="17">
        <v>18270</v>
      </c>
      <c r="C13" s="17">
        <v>12108</v>
      </c>
      <c r="D13" s="17">
        <v>9134</v>
      </c>
      <c r="E13" s="17">
        <v>21242</v>
      </c>
      <c r="F13" s="17">
        <v>20758</v>
      </c>
      <c r="G13" s="18">
        <f>IF(AND(F65&lt;&gt;85000,20758&lt;&gt;0),IF(100*20758/(F65-85000)&lt;0.005,"*",100*20758/(F65-85000)),0)</f>
        <v>0.18565420165384106</v>
      </c>
    </row>
    <row r="14" spans="1:7" x14ac:dyDescent="0.2">
      <c r="A14" s="11" t="s">
        <v>115</v>
      </c>
      <c r="B14" s="17">
        <v>479152</v>
      </c>
      <c r="C14" s="17">
        <v>317552</v>
      </c>
      <c r="D14" s="17">
        <v>239557</v>
      </c>
      <c r="E14" s="17">
        <v>557109</v>
      </c>
      <c r="F14" s="17">
        <v>544401</v>
      </c>
      <c r="G14" s="18">
        <f>IF(AND(F65&lt;&gt;85000,544401&lt;&gt;0),IF(100*544401/(F65-85000)&lt;0.005,"*",100*544401/(F65-85000)),0)</f>
        <v>4.8689822253855244</v>
      </c>
    </row>
    <row r="15" spans="1:7" x14ac:dyDescent="0.2">
      <c r="A15" s="11" t="s">
        <v>116</v>
      </c>
      <c r="B15" s="17">
        <v>453990</v>
      </c>
      <c r="C15" s="17">
        <v>300876</v>
      </c>
      <c r="D15" s="17">
        <v>226977</v>
      </c>
      <c r="E15" s="17">
        <v>527853</v>
      </c>
      <c r="F15" s="17">
        <v>515812</v>
      </c>
      <c r="G15" s="18">
        <f>IF(AND(F65&lt;&gt;85000,515812&lt;&gt;0),IF(100*515812/(F65-85000)&lt;0.005,"*",100*515812/(F65-85000)),0)</f>
        <v>4.6132895781612415</v>
      </c>
    </row>
    <row r="16" spans="1:7" x14ac:dyDescent="0.2">
      <c r="A16" s="11" t="s">
        <v>117</v>
      </c>
      <c r="B16" s="17">
        <v>212639</v>
      </c>
      <c r="C16" s="17">
        <v>140923</v>
      </c>
      <c r="D16" s="17">
        <v>106311</v>
      </c>
      <c r="E16" s="17">
        <v>247234</v>
      </c>
      <c r="F16" s="17">
        <v>241594</v>
      </c>
      <c r="G16" s="18">
        <f>IF(AND(F65&lt;&gt;85000,241594&lt;&gt;0),IF(100*241594/(F65-85000)&lt;0.005,"*",100*241594/(F65-85000)),0)</f>
        <v>2.1607544654763502</v>
      </c>
    </row>
    <row r="17" spans="1:7" x14ac:dyDescent="0.2">
      <c r="A17" s="11" t="s">
        <v>118</v>
      </c>
      <c r="B17" s="17">
        <v>38318</v>
      </c>
      <c r="C17" s="17">
        <v>25395</v>
      </c>
      <c r="D17" s="17">
        <v>19157</v>
      </c>
      <c r="E17" s="17">
        <v>44552</v>
      </c>
      <c r="F17" s="17">
        <v>43536</v>
      </c>
      <c r="G17" s="18">
        <f>IF(AND(F65&lt;&gt;85000,43536&lt;&gt;0),IF(100*43536/(F65-85000)&lt;0.005,"*",100*43536/(F65-85000)),0)</f>
        <v>0.38937476265544002</v>
      </c>
    </row>
    <row r="18" spans="1:7" x14ac:dyDescent="0.2">
      <c r="A18" s="11" t="s">
        <v>119</v>
      </c>
      <c r="B18" s="17">
        <v>16717</v>
      </c>
      <c r="C18" s="17">
        <v>11079</v>
      </c>
      <c r="D18" s="17">
        <v>8358</v>
      </c>
      <c r="E18" s="17">
        <v>19437</v>
      </c>
      <c r="F18" s="17">
        <v>18993</v>
      </c>
      <c r="G18" s="18">
        <f>IF(AND(F65&lt;&gt;85000,18993&lt;&gt;0),IF(100*18993/(F65-85000)&lt;0.005,"*",100*18993/(F65-85000)),0)</f>
        <v>0.16986849658018127</v>
      </c>
    </row>
    <row r="19" spans="1:7" x14ac:dyDescent="0.2">
      <c r="A19" s="11" t="s">
        <v>120</v>
      </c>
      <c r="B19" s="17">
        <v>532937</v>
      </c>
      <c r="C19" s="17">
        <v>353197</v>
      </c>
      <c r="D19" s="17">
        <v>266447</v>
      </c>
      <c r="E19" s="17">
        <v>619644</v>
      </c>
      <c r="F19" s="17">
        <v>605510</v>
      </c>
      <c r="G19" s="18">
        <f>IF(AND(F65&lt;&gt;85000,605510&lt;&gt;0),IF(100*605510/(F65-85000)&lt;0.005,"*",100*605510/(F65-85000)),0)</f>
        <v>5.4155253706242075</v>
      </c>
    </row>
    <row r="20" spans="1:7" x14ac:dyDescent="0.2">
      <c r="A20" s="11" t="s">
        <v>121</v>
      </c>
      <c r="B20" s="17">
        <v>92325</v>
      </c>
      <c r="C20" s="17">
        <v>61187</v>
      </c>
      <c r="D20" s="17">
        <v>46159</v>
      </c>
      <c r="E20" s="17">
        <v>107346</v>
      </c>
      <c r="F20" s="17">
        <v>104897</v>
      </c>
      <c r="G20" s="18">
        <f>IF(AND(F65&lt;&gt;85000,104897&lt;&gt;0),IF(100*104897/(F65-85000)&lt;0.005,"*",100*104897/(F65-85000)),0)</f>
        <v>0.93817173094146655</v>
      </c>
    </row>
    <row r="21" spans="1:7" x14ac:dyDescent="0.2">
      <c r="A21" s="11" t="s">
        <v>122</v>
      </c>
      <c r="B21" s="17">
        <v>46168</v>
      </c>
      <c r="C21" s="17">
        <v>30597</v>
      </c>
      <c r="D21" s="17">
        <v>23082</v>
      </c>
      <c r="E21" s="17">
        <v>53679</v>
      </c>
      <c r="F21" s="17">
        <v>52455</v>
      </c>
      <c r="G21" s="18">
        <f>IF(AND(F65&lt;&gt;85000,52455&lt;&gt;0),IF(100*52455/(F65-85000)&lt;0.005,"*",100*52455/(F65-85000)),0)</f>
        <v>0.46914399979536719</v>
      </c>
    </row>
    <row r="22" spans="1:7" x14ac:dyDescent="0.2">
      <c r="A22" s="11" t="s">
        <v>123</v>
      </c>
      <c r="B22" s="17">
        <v>29744</v>
      </c>
      <c r="C22" s="17">
        <v>19713</v>
      </c>
      <c r="D22" s="17">
        <v>14871</v>
      </c>
      <c r="E22" s="17">
        <v>34584</v>
      </c>
      <c r="F22" s="17">
        <v>33795</v>
      </c>
      <c r="G22" s="18">
        <f>IF(AND(F65&lt;&gt;85000,33795&lt;&gt;0),IF(100*33795/(F65-85000)&lt;0.005,"*",100*33795/(F65-85000)),0)</f>
        <v>0.30225376938489057</v>
      </c>
    </row>
    <row r="23" spans="1:7" x14ac:dyDescent="0.2">
      <c r="A23" s="11" t="s">
        <v>124</v>
      </c>
      <c r="B23" s="17">
        <v>60353</v>
      </c>
      <c r="C23" s="17">
        <v>39998</v>
      </c>
      <c r="D23" s="17">
        <v>30174</v>
      </c>
      <c r="E23" s="17">
        <v>70172</v>
      </c>
      <c r="F23" s="17">
        <v>68572</v>
      </c>
      <c r="G23" s="18">
        <f>IF(AND(F65&lt;&gt;85000,68572&lt;&gt;0),IF(100*68572/(F65-85000)&lt;0.005,"*",100*68572/(F65-85000)),0)</f>
        <v>0.61329029366062182</v>
      </c>
    </row>
    <row r="24" spans="1:7" x14ac:dyDescent="0.2">
      <c r="A24" s="11" t="s">
        <v>125</v>
      </c>
      <c r="B24" s="17">
        <v>74391</v>
      </c>
      <c r="C24" s="17">
        <v>49301</v>
      </c>
      <c r="D24" s="17">
        <v>37192</v>
      </c>
      <c r="E24" s="17">
        <v>86493</v>
      </c>
      <c r="F24" s="17">
        <v>84521</v>
      </c>
      <c r="G24" s="18">
        <f>IF(AND(F65&lt;&gt;85000,84521&lt;&gt;0),IF(100*84521/(F65-85000)&lt;0.005,"*",100*84521/(F65-85000)),0)</f>
        <v>0.75593403882764709</v>
      </c>
    </row>
    <row r="25" spans="1:7" x14ac:dyDescent="0.2">
      <c r="A25" s="11" t="s">
        <v>126</v>
      </c>
      <c r="B25" s="17">
        <v>23399</v>
      </c>
      <c r="C25" s="17">
        <v>15507</v>
      </c>
      <c r="D25" s="17">
        <v>11699</v>
      </c>
      <c r="E25" s="17">
        <v>27206</v>
      </c>
      <c r="F25" s="17">
        <v>26585</v>
      </c>
      <c r="G25" s="18">
        <f>IF(AND(F65&lt;&gt;85000,26585&lt;&gt;0),IF(100*26585/(F65-85000)&lt;0.005,"*",100*26585/(F65-85000)),0)</f>
        <v>0.23776938775254669</v>
      </c>
    </row>
    <row r="26" spans="1:7" x14ac:dyDescent="0.2">
      <c r="A26" s="11" t="s">
        <v>127</v>
      </c>
      <c r="B26" s="17">
        <v>164124</v>
      </c>
      <c r="C26" s="17">
        <v>108771</v>
      </c>
      <c r="D26" s="17">
        <v>82055</v>
      </c>
      <c r="E26" s="17">
        <v>190826</v>
      </c>
      <c r="F26" s="17">
        <v>186474</v>
      </c>
      <c r="G26" s="18">
        <f>IF(AND(F65&lt;&gt;85000,186474&lt;&gt;0),IF(100*186474/(F65-85000)&lt;0.005,"*",100*186474/(F65-85000)),0)</f>
        <v>1.6677753925810943</v>
      </c>
    </row>
    <row r="27" spans="1:7" x14ac:dyDescent="0.2">
      <c r="A27" s="11" t="s">
        <v>128</v>
      </c>
      <c r="B27" s="17">
        <v>389707</v>
      </c>
      <c r="C27" s="17">
        <v>258273</v>
      </c>
      <c r="D27" s="17">
        <v>194838</v>
      </c>
      <c r="E27" s="17">
        <v>453111</v>
      </c>
      <c r="F27" s="17">
        <v>442775</v>
      </c>
      <c r="G27" s="18">
        <f>IF(AND(F65&lt;&gt;85000,442775&lt;&gt;0),IF(100*442775/(F65-85000)&lt;0.005,"*",100*442775/(F65-85000)),0)</f>
        <v>3.9600654753482738</v>
      </c>
    </row>
    <row r="28" spans="1:7" x14ac:dyDescent="0.2">
      <c r="A28" s="11" t="s">
        <v>129</v>
      </c>
      <c r="B28" s="17">
        <v>152156</v>
      </c>
      <c r="C28" s="17">
        <v>100840</v>
      </c>
      <c r="D28" s="17">
        <v>76072</v>
      </c>
      <c r="E28" s="17">
        <v>176912</v>
      </c>
      <c r="F28" s="17">
        <v>172876</v>
      </c>
      <c r="G28" s="18">
        <f>IF(AND(F65&lt;&gt;85000,172876&lt;&gt;0),IF(100*172876/(F65-85000)&lt;0.005,"*",100*172876/(F65-85000)),0)</f>
        <v>1.5461583854470289</v>
      </c>
    </row>
    <row r="29" spans="1:7" x14ac:dyDescent="0.2">
      <c r="A29" s="11" t="s">
        <v>130</v>
      </c>
      <c r="B29" s="17">
        <v>206102</v>
      </c>
      <c r="C29" s="17">
        <v>136591</v>
      </c>
      <c r="D29" s="17">
        <v>103042</v>
      </c>
      <c r="E29" s="17">
        <v>239633</v>
      </c>
      <c r="F29" s="17">
        <v>234167</v>
      </c>
      <c r="G29" s="18">
        <f>IF(AND(F65&lt;&gt;85000,234167&lt;&gt;0),IF(100*234167/(F65-85000)&lt;0.005,"*",100*234167/(F65-85000)),0)</f>
        <v>2.0943292917754599</v>
      </c>
    </row>
    <row r="30" spans="1:7" x14ac:dyDescent="0.2">
      <c r="A30" s="11" t="s">
        <v>131</v>
      </c>
      <c r="B30" s="17">
        <v>36282</v>
      </c>
      <c r="C30" s="17">
        <v>24045</v>
      </c>
      <c r="D30" s="17">
        <v>18139</v>
      </c>
      <c r="E30" s="17">
        <v>42184</v>
      </c>
      <c r="F30" s="17">
        <v>41222</v>
      </c>
      <c r="G30" s="18">
        <f>IF(AND(F65&lt;&gt;85000,41222&lt;&gt;0),IF(100*41222/(F65-85000)&lt;0.005,"*",100*41222/(F65-85000)),0)</f>
        <v>0.3686789430857807</v>
      </c>
    </row>
    <row r="31" spans="1:7" x14ac:dyDescent="0.2">
      <c r="A31" s="11" t="s">
        <v>132</v>
      </c>
      <c r="B31" s="17">
        <v>129752</v>
      </c>
      <c r="C31" s="17">
        <v>85992</v>
      </c>
      <c r="D31" s="17">
        <v>64871</v>
      </c>
      <c r="E31" s="17">
        <v>150863</v>
      </c>
      <c r="F31" s="17">
        <v>147421</v>
      </c>
      <c r="G31" s="18">
        <f>IF(AND(F65&lt;&gt;85000,147421&lt;&gt;0),IF(100*147421/(F65-85000)&lt;0.005,"*",100*147421/(F65-85000)),0)</f>
        <v>1.3184954264385249</v>
      </c>
    </row>
    <row r="32" spans="1:7" x14ac:dyDescent="0.2">
      <c r="A32" s="11" t="s">
        <v>133</v>
      </c>
      <c r="B32" s="17">
        <v>29965</v>
      </c>
      <c r="C32" s="17">
        <v>19859</v>
      </c>
      <c r="D32" s="17">
        <v>14981</v>
      </c>
      <c r="E32" s="17">
        <v>34840</v>
      </c>
      <c r="F32" s="17">
        <v>34046</v>
      </c>
      <c r="G32" s="18">
        <f>IF(AND(F65&lt;&gt;85000,34046&lt;&gt;0),IF(100*34046/(F65-85000)&lt;0.005,"*",100*34046/(F65-85000)),0)</f>
        <v>0.30449864868998322</v>
      </c>
    </row>
    <row r="33" spans="1:7" x14ac:dyDescent="0.2">
      <c r="A33" s="11" t="s">
        <v>134</v>
      </c>
      <c r="B33" s="17">
        <v>14218</v>
      </c>
      <c r="C33" s="17">
        <v>9423</v>
      </c>
      <c r="D33" s="17">
        <v>7109</v>
      </c>
      <c r="E33" s="17">
        <v>16532</v>
      </c>
      <c r="F33" s="17">
        <v>16154</v>
      </c>
      <c r="G33" s="18">
        <f>IF(AND(F65&lt;&gt;85000,16154&lt;&gt;0),IF(100*16154/(F65-85000)&lt;0.005,"*",100*16154/(F65-85000)),0)</f>
        <v>0.14447721232855518</v>
      </c>
    </row>
    <row r="34" spans="1:7" x14ac:dyDescent="0.2">
      <c r="A34" s="11" t="s">
        <v>135</v>
      </c>
      <c r="B34" s="17">
        <v>116737</v>
      </c>
      <c r="C34" s="17">
        <v>77366</v>
      </c>
      <c r="D34" s="17">
        <v>58364</v>
      </c>
      <c r="E34" s="17">
        <v>135730</v>
      </c>
      <c r="F34" s="17">
        <v>132634</v>
      </c>
      <c r="G34" s="18">
        <f>IF(AND(F65&lt;&gt;85000,132634&lt;&gt;0),IF(100*132634/(F65-85000)&lt;0.005,"*",100*132634/(F65-85000)),0)</f>
        <v>1.1862443097675861</v>
      </c>
    </row>
    <row r="35" spans="1:7" x14ac:dyDescent="0.2">
      <c r="A35" s="11" t="s">
        <v>136</v>
      </c>
      <c r="B35" s="17">
        <v>22032</v>
      </c>
      <c r="C35" s="17">
        <v>14601</v>
      </c>
      <c r="D35" s="17">
        <v>11015</v>
      </c>
      <c r="E35" s="17">
        <v>25616</v>
      </c>
      <c r="F35" s="17">
        <v>25032</v>
      </c>
      <c r="G35" s="18">
        <f>IF(AND(F65&lt;&gt;85000,25032&lt;&gt;0),IF(100*25032/(F65-85000)&lt;0.005,"*",100*25032/(F65-85000)),0)</f>
        <v>0.22387975603617635</v>
      </c>
    </row>
    <row r="36" spans="1:7" x14ac:dyDescent="0.2">
      <c r="A36" s="11" t="s">
        <v>137</v>
      </c>
      <c r="B36" s="17">
        <v>482746</v>
      </c>
      <c r="C36" s="17">
        <v>319934</v>
      </c>
      <c r="D36" s="17">
        <v>241353</v>
      </c>
      <c r="E36" s="17">
        <v>561287</v>
      </c>
      <c r="F36" s="17">
        <v>548484</v>
      </c>
      <c r="G36" s="18">
        <f>IF(AND(F65&lt;&gt;85000,548484&lt;&gt;0),IF(100*548484/(F65-85000)&lt;0.005,"*",100*548484/(F65-85000)),0)</f>
        <v>4.9054995249978495</v>
      </c>
    </row>
    <row r="37" spans="1:7" x14ac:dyDescent="0.2">
      <c r="A37" s="11" t="s">
        <v>138</v>
      </c>
      <c r="B37" s="17">
        <v>29611</v>
      </c>
      <c r="C37" s="17">
        <v>19624</v>
      </c>
      <c r="D37" s="17">
        <v>14804</v>
      </c>
      <c r="E37" s="17">
        <v>34428</v>
      </c>
      <c r="F37" s="17">
        <v>33643</v>
      </c>
      <c r="G37" s="18">
        <f>IF(AND(F65&lt;&gt;85000,33643&lt;&gt;0),IF(100*33643/(F65-85000)&lt;0.005,"*",100*33643/(F65-85000)),0)</f>
        <v>0.300894320562683</v>
      </c>
    </row>
    <row r="38" spans="1:7" x14ac:dyDescent="0.2">
      <c r="A38" s="11" t="s">
        <v>139</v>
      </c>
      <c r="B38" s="17">
        <v>1366538</v>
      </c>
      <c r="C38" s="17">
        <v>905654</v>
      </c>
      <c r="D38" s="17">
        <v>683213</v>
      </c>
      <c r="E38" s="17">
        <v>1588867</v>
      </c>
      <c r="F38" s="17">
        <v>1552624</v>
      </c>
      <c r="G38" s="18">
        <f>IF(AND(F65&lt;&gt;85000,1552624&lt;&gt;0),IF(100*1552624/(F65-85000)&lt;0.005,"*",100*1552624/(F65-85000)),0)</f>
        <v>13.886268869283809</v>
      </c>
    </row>
    <row r="39" spans="1:7" x14ac:dyDescent="0.2">
      <c r="A39" s="11" t="s">
        <v>140</v>
      </c>
      <c r="B39" s="17">
        <v>163101</v>
      </c>
      <c r="C39" s="17">
        <v>108093</v>
      </c>
      <c r="D39" s="17">
        <v>81544</v>
      </c>
      <c r="E39" s="17">
        <v>189637</v>
      </c>
      <c r="F39" s="17">
        <v>185312</v>
      </c>
      <c r="G39" s="18">
        <f>IF(AND(F65&lt;&gt;85000,185312&lt;&gt;0),IF(100*185312/(F65-85000)&lt;0.005,"*",100*185312/(F65-85000)),0)</f>
        <v>1.6573827640850078</v>
      </c>
    </row>
    <row r="40" spans="1:7" x14ac:dyDescent="0.2">
      <c r="A40" s="11" t="s">
        <v>141</v>
      </c>
      <c r="B40" s="17">
        <v>12476</v>
      </c>
      <c r="C40" s="17">
        <v>8268</v>
      </c>
      <c r="D40" s="17">
        <v>6237</v>
      </c>
      <c r="E40" s="17">
        <v>14505</v>
      </c>
      <c r="F40" s="17">
        <v>14174</v>
      </c>
      <c r="G40" s="18">
        <f>IF(AND(F65&lt;&gt;85000,14174&lt;&gt;0),IF(100*14174/(F65-85000)&lt;0.005,"*",100*14174/(F65-85000)),0)</f>
        <v>0.12676860267085185</v>
      </c>
    </row>
    <row r="41" spans="1:7" x14ac:dyDescent="0.2">
      <c r="A41" s="11" t="s">
        <v>142</v>
      </c>
      <c r="B41" s="17">
        <v>144729</v>
      </c>
      <c r="C41" s="17">
        <v>95917</v>
      </c>
      <c r="D41" s="17">
        <v>72359</v>
      </c>
      <c r="E41" s="17">
        <v>168276</v>
      </c>
      <c r="F41" s="17">
        <v>164438</v>
      </c>
      <c r="G41" s="18">
        <f>IF(AND(F65&lt;&gt;85000,164438&lt;&gt;0),IF(100*164438/(F65-85000)&lt;0.005,"*",100*164438/(F65-85000)),0)</f>
        <v>1.4706910883300084</v>
      </c>
    </row>
    <row r="42" spans="1:7" x14ac:dyDescent="0.2">
      <c r="A42" s="11" t="s">
        <v>143</v>
      </c>
      <c r="B42" s="17">
        <v>52146</v>
      </c>
      <c r="C42" s="17">
        <v>34559</v>
      </c>
      <c r="D42" s="17">
        <v>26071</v>
      </c>
      <c r="E42" s="17">
        <v>60630</v>
      </c>
      <c r="F42" s="17">
        <v>59247</v>
      </c>
      <c r="G42" s="18">
        <f>IF(AND(F65&lt;&gt;85000,59247&lt;&gt;0),IF(100*59247/(F65-85000)&lt;0.005,"*",100*59247/(F65-85000)),0)</f>
        <v>0.52988989716664037</v>
      </c>
    </row>
    <row r="43" spans="1:7" x14ac:dyDescent="0.2">
      <c r="A43" s="11" t="s">
        <v>144</v>
      </c>
      <c r="B43" s="17">
        <v>158475</v>
      </c>
      <c r="C43" s="17">
        <v>105027</v>
      </c>
      <c r="D43" s="17">
        <v>79231</v>
      </c>
      <c r="E43" s="17">
        <v>184258</v>
      </c>
      <c r="F43" s="17">
        <v>180055</v>
      </c>
      <c r="G43" s="18">
        <f>IF(AND(F65&lt;&gt;85000,180055&lt;&gt;0),IF(100*180055/(F65-85000)&lt;0.005,"*",100*180055/(F65-85000)),0)</f>
        <v>1.6103655110695803</v>
      </c>
    </row>
    <row r="44" spans="1:7" x14ac:dyDescent="0.2">
      <c r="A44" s="11" t="s">
        <v>145</v>
      </c>
      <c r="B44" s="17">
        <v>388502</v>
      </c>
      <c r="C44" s="17">
        <v>257475</v>
      </c>
      <c r="D44" s="17">
        <v>194235</v>
      </c>
      <c r="E44" s="17">
        <v>451710</v>
      </c>
      <c r="F44" s="17">
        <v>441406</v>
      </c>
      <c r="G44" s="18">
        <f>IF(AND(F65&lt;&gt;85000,441406&lt;&gt;0),IF(100*441406/(F65-85000)&lt;0.005,"*",100*441406/(F65-85000)),0)</f>
        <v>3.9478214922061547</v>
      </c>
    </row>
    <row r="45" spans="1:7" x14ac:dyDescent="0.2">
      <c r="A45" s="11" t="s">
        <v>146</v>
      </c>
      <c r="B45" s="17">
        <v>47401</v>
      </c>
      <c r="C45" s="17">
        <v>31415</v>
      </c>
      <c r="D45" s="17">
        <v>23699</v>
      </c>
      <c r="E45" s="17">
        <v>55114</v>
      </c>
      <c r="F45" s="17">
        <v>53856</v>
      </c>
      <c r="G45" s="18">
        <f>IF(AND(F65&lt;&gt;85000,53856&lt;&gt;0),IF(100*53856/(F65-85000)&lt;0.005,"*",100*53856/(F65-85000)),0)</f>
        <v>0.48167418268952999</v>
      </c>
    </row>
    <row r="46" spans="1:7" x14ac:dyDescent="0.2">
      <c r="A46" s="11" t="s">
        <v>147</v>
      </c>
      <c r="B46" s="17">
        <v>53440</v>
      </c>
      <c r="C46" s="17">
        <v>35417</v>
      </c>
      <c r="D46" s="17">
        <v>26718</v>
      </c>
      <c r="E46" s="17">
        <v>62135</v>
      </c>
      <c r="F46" s="17">
        <v>60717</v>
      </c>
      <c r="G46" s="18">
        <f>IF(AND(F65&lt;&gt;85000,60717&lt;&gt;0),IF(100*60717/(F65-85000)&lt;0.005,"*",100*60717/(F65-85000)),0)</f>
        <v>0.54303719827614738</v>
      </c>
    </row>
    <row r="47" spans="1:7" x14ac:dyDescent="0.2">
      <c r="A47" s="11" t="s">
        <v>148</v>
      </c>
      <c r="B47" s="17">
        <v>15731</v>
      </c>
      <c r="C47" s="17">
        <v>10426</v>
      </c>
      <c r="D47" s="17">
        <v>7865</v>
      </c>
      <c r="E47" s="17">
        <v>18291</v>
      </c>
      <c r="F47" s="17">
        <v>17873</v>
      </c>
      <c r="G47" s="18">
        <f>IF(AND(F65&lt;&gt;85000,17873&lt;&gt;0),IF(100*17873/(F65-85000)&lt;0.005,"*",100*17873/(F65-85000)),0)</f>
        <v>0.15985150525865213</v>
      </c>
    </row>
    <row r="48" spans="1:7" x14ac:dyDescent="0.2">
      <c r="A48" s="11" t="s">
        <v>149</v>
      </c>
      <c r="B48" s="17">
        <v>107473</v>
      </c>
      <c r="C48" s="17">
        <v>71226</v>
      </c>
      <c r="D48" s="17">
        <v>53732</v>
      </c>
      <c r="E48" s="17">
        <v>124958</v>
      </c>
      <c r="F48" s="17">
        <v>122108</v>
      </c>
      <c r="G48" s="18">
        <f>IF(AND(F65&lt;&gt;85000,122108&lt;&gt;0),IF(100*122108/(F65-85000)&lt;0.005,"*",100*122108/(F65-85000)),0)</f>
        <v>1.0921024788297149</v>
      </c>
    </row>
    <row r="49" spans="1:7" x14ac:dyDescent="0.2">
      <c r="A49" s="11" t="s">
        <v>150</v>
      </c>
      <c r="B49" s="17">
        <v>507108</v>
      </c>
      <c r="C49" s="17">
        <v>336079</v>
      </c>
      <c r="D49" s="17">
        <v>253533</v>
      </c>
      <c r="E49" s="17">
        <v>589612</v>
      </c>
      <c r="F49" s="17">
        <v>576163</v>
      </c>
      <c r="G49" s="18">
        <f>IF(AND(F65&lt;&gt;85000,576163&lt;&gt;0),IF(100*576163/(F65-85000)&lt;0.005,"*",100*576163/(F65-85000)),0)</f>
        <v>5.1530533667733893</v>
      </c>
    </row>
    <row r="50" spans="1:7" x14ac:dyDescent="0.2">
      <c r="A50" s="11" t="s">
        <v>151</v>
      </c>
      <c r="B50" s="17">
        <v>60804</v>
      </c>
      <c r="C50" s="17">
        <v>40297</v>
      </c>
      <c r="D50" s="17">
        <v>30399</v>
      </c>
      <c r="E50" s="17">
        <v>70696</v>
      </c>
      <c r="F50" s="17">
        <v>69084</v>
      </c>
      <c r="G50" s="18">
        <f>IF(AND(F65&lt;&gt;85000,69084&lt;&gt;0),IF(100*69084/(F65-85000)&lt;0.005,"*",100*69084/(F65-85000)),0)</f>
        <v>0.61786948969332089</v>
      </c>
    </row>
    <row r="51" spans="1:7" x14ac:dyDescent="0.2">
      <c r="A51" s="11" t="s">
        <v>152</v>
      </c>
      <c r="B51" s="17">
        <v>23992</v>
      </c>
      <c r="C51" s="17">
        <v>15900</v>
      </c>
      <c r="D51" s="17">
        <v>11995</v>
      </c>
      <c r="E51" s="17">
        <v>27895</v>
      </c>
      <c r="F51" s="17">
        <v>27259</v>
      </c>
      <c r="G51" s="18">
        <f>IF(AND(F65&lt;&gt;85000,27259&lt;&gt;0),IF(100*27259/(F65-85000)&lt;0.005,"*",100*27259/(F65-85000)),0)</f>
        <v>0.24379747002996691</v>
      </c>
    </row>
    <row r="52" spans="1:7" x14ac:dyDescent="0.2">
      <c r="A52" s="11" t="s">
        <v>153</v>
      </c>
      <c r="B52" s="17">
        <v>118316</v>
      </c>
      <c r="C52" s="17">
        <v>78412</v>
      </c>
      <c r="D52" s="17">
        <v>59153</v>
      </c>
      <c r="E52" s="17">
        <v>137565</v>
      </c>
      <c r="F52" s="17">
        <v>134427</v>
      </c>
      <c r="G52" s="18">
        <f>IF(AND(F65&lt;&gt;85000,134427&lt;&gt;0),IF(100*134427/(F65-85000)&lt;0.005,"*",100*134427/(F65-85000)),0)</f>
        <v>1.2022804396242841</v>
      </c>
    </row>
    <row r="53" spans="1:7" x14ac:dyDescent="0.2">
      <c r="A53" s="11" t="s">
        <v>154</v>
      </c>
      <c r="B53" s="17">
        <v>268838</v>
      </c>
      <c r="C53" s="17">
        <v>178169</v>
      </c>
      <c r="D53" s="17">
        <v>134408</v>
      </c>
      <c r="E53" s="17">
        <v>312577</v>
      </c>
      <c r="F53" s="17">
        <v>305447</v>
      </c>
      <c r="G53" s="18">
        <f>IF(AND(F65&lt;&gt;85000,305447&lt;&gt;0),IF(100*305447/(F65-85000)&lt;0.005,"*",100*305447/(F65-85000)),0)</f>
        <v>2.7318392394527788</v>
      </c>
    </row>
    <row r="54" spans="1:7" x14ac:dyDescent="0.2">
      <c r="A54" s="11" t="s">
        <v>155</v>
      </c>
      <c r="B54" s="17">
        <v>27045</v>
      </c>
      <c r="C54" s="17">
        <v>17924</v>
      </c>
      <c r="D54" s="17">
        <v>13521</v>
      </c>
      <c r="E54" s="17">
        <v>31445</v>
      </c>
      <c r="F54" s="17">
        <v>30728</v>
      </c>
      <c r="G54" s="18">
        <f>IF(AND(F65&lt;&gt;85000,30728&lt;&gt;0),IF(100*30728/(F65-85000)&lt;0.005,"*",100*30728/(F65-85000)),0)</f>
        <v>0.27482331189995313</v>
      </c>
    </row>
    <row r="55" spans="1:7" x14ac:dyDescent="0.2">
      <c r="A55" s="11" t="s">
        <v>156</v>
      </c>
      <c r="B55" s="17">
        <v>102449</v>
      </c>
      <c r="C55" s="17">
        <v>67897</v>
      </c>
      <c r="D55" s="17">
        <v>51220</v>
      </c>
      <c r="E55" s="17">
        <v>119117</v>
      </c>
      <c r="F55" s="17">
        <v>116400</v>
      </c>
      <c r="G55" s="18">
        <f>IF(AND(F65&lt;&gt;85000,116400&lt;&gt;0),IF(100*116400/(F65-85000)&lt;0.005,"*",100*116400/(F65-85000)),0)</f>
        <v>1.0410515980589217</v>
      </c>
    </row>
    <row r="56" spans="1:7" x14ac:dyDescent="0.2">
      <c r="A56" s="11" t="s">
        <v>157</v>
      </c>
      <c r="B56" s="17">
        <v>9610</v>
      </c>
      <c r="C56" s="17">
        <v>6369</v>
      </c>
      <c r="D56" s="17">
        <v>4805</v>
      </c>
      <c r="E56" s="17">
        <v>11174</v>
      </c>
      <c r="F56" s="17">
        <v>10919</v>
      </c>
      <c r="G56" s="18">
        <f>IF(AND(F65&lt;&gt;85000,10919&lt;&gt;0),IF(100*10919/(F65-85000)&lt;0.005,"*",100*10919/(F65-85000)),0)</f>
        <v>9.765672164265779E-2</v>
      </c>
    </row>
    <row r="57" spans="1:7" x14ac:dyDescent="0.2">
      <c r="A57" s="11" t="s">
        <v>158</v>
      </c>
      <c r="B57" s="17">
        <v>0</v>
      </c>
      <c r="C57" s="17">
        <v>0</v>
      </c>
      <c r="D57" s="17">
        <v>0</v>
      </c>
      <c r="E57" s="17">
        <v>0</v>
      </c>
      <c r="F57" s="17">
        <v>0</v>
      </c>
      <c r="G57" s="18">
        <f>IF(AND(F65&lt;&gt;85000,0&lt;&gt;0),IF(100*0/(F65-85000)&lt;0.005,"*",100*0/(F65-85000)),0)</f>
        <v>0</v>
      </c>
    </row>
    <row r="58" spans="1:7" x14ac:dyDescent="0.2">
      <c r="A58" s="11" t="s">
        <v>159</v>
      </c>
      <c r="B58" s="17">
        <v>3033</v>
      </c>
      <c r="C58" s="17">
        <v>2010</v>
      </c>
      <c r="D58" s="17">
        <v>1516</v>
      </c>
      <c r="E58" s="17">
        <v>3526</v>
      </c>
      <c r="F58" s="17">
        <v>3446</v>
      </c>
      <c r="G58" s="18">
        <f>IF(AND(F65&lt;&gt;85000,3446&lt;&gt;0),IF(100*3446/(F65-85000)&lt;0.005,"*",100*3446/(F65-85000)),0)</f>
        <v>3.0820135798204848E-2</v>
      </c>
    </row>
    <row r="59" spans="1:7" x14ac:dyDescent="0.2">
      <c r="A59" s="11" t="s">
        <v>160</v>
      </c>
      <c r="B59" s="17">
        <v>0</v>
      </c>
      <c r="C59" s="17">
        <v>0</v>
      </c>
      <c r="D59" s="17">
        <v>0</v>
      </c>
      <c r="E59" s="17">
        <v>0</v>
      </c>
      <c r="F59" s="17">
        <v>0</v>
      </c>
      <c r="G59" s="18">
        <f>IF(AND(F65&lt;&gt;85000,0&lt;&gt;0),IF(100*0/(F65-85000)&lt;0.005,"*",100*0/(F65-85000)),0)</f>
        <v>0</v>
      </c>
    </row>
    <row r="60" spans="1:7" x14ac:dyDescent="0.2">
      <c r="A60" s="11" t="s">
        <v>161</v>
      </c>
      <c r="B60" s="17">
        <v>23299</v>
      </c>
      <c r="C60" s="17">
        <v>15441</v>
      </c>
      <c r="D60" s="17">
        <v>11648</v>
      </c>
      <c r="E60" s="17">
        <v>27089</v>
      </c>
      <c r="F60" s="17">
        <v>26472</v>
      </c>
      <c r="G60" s="18">
        <f>IF(AND(F65&lt;&gt;85000,26472&lt;&gt;0),IF(100*26472/(F65-85000)&lt;0.005,"*",100*26472/(F65-85000)),0)</f>
        <v>0.23675874487814241</v>
      </c>
    </row>
    <row r="61" spans="1:7" x14ac:dyDescent="0.2">
      <c r="A61" s="11" t="s">
        <v>162</v>
      </c>
      <c r="B61" s="17">
        <v>0</v>
      </c>
      <c r="C61" s="17">
        <v>0</v>
      </c>
      <c r="D61" s="17">
        <v>0</v>
      </c>
      <c r="E61" s="17">
        <v>0</v>
      </c>
      <c r="F61" s="17">
        <v>0</v>
      </c>
      <c r="G61" s="18">
        <f>IF(AND(F65&lt;&gt;85000,0&lt;&gt;0),IF(100*0/(F65-85000)&lt;0.005,"*",100*0/(F65-85000)),0)</f>
        <v>0</v>
      </c>
    </row>
    <row r="62" spans="1:7" x14ac:dyDescent="0.2">
      <c r="A62" s="11" t="s">
        <v>163</v>
      </c>
      <c r="B62" s="17">
        <v>1845</v>
      </c>
      <c r="C62" s="17">
        <v>1223</v>
      </c>
      <c r="D62" s="17">
        <v>923</v>
      </c>
      <c r="E62" s="17">
        <v>2146</v>
      </c>
      <c r="F62" s="17">
        <v>2097</v>
      </c>
      <c r="G62" s="18">
        <f>IF(AND(F65&lt;&gt;85000,2097&lt;&gt;0),IF(100*2097/(F65-85000)&lt;0.005,"*",100*2097/(F65-85000)),0)</f>
        <v>1.8755027501113047E-2</v>
      </c>
    </row>
    <row r="63" spans="1:7" x14ac:dyDescent="0.2">
      <c r="A63" s="11" t="s">
        <v>164</v>
      </c>
      <c r="B63" s="17">
        <v>0</v>
      </c>
      <c r="C63" s="17">
        <v>0</v>
      </c>
      <c r="D63" s="17">
        <v>0</v>
      </c>
      <c r="E63" s="17">
        <v>0</v>
      </c>
      <c r="F63" s="17">
        <v>0</v>
      </c>
      <c r="G63" s="18">
        <f>IF(AND(F65&lt;&gt;85000,0&lt;&gt;0),IF(100*0/(F65-85000)&lt;0.005,"*",100*0/(F65-85000)),0)</f>
        <v>0</v>
      </c>
    </row>
    <row r="64" spans="1:7" ht="15" x14ac:dyDescent="0.2">
      <c r="A64" s="11" t="s">
        <v>165</v>
      </c>
      <c r="B64" s="23" t="s">
        <v>365</v>
      </c>
      <c r="C64" s="23" t="s">
        <v>366</v>
      </c>
      <c r="D64" s="23" t="s">
        <v>367</v>
      </c>
      <c r="E64" s="17">
        <v>85000</v>
      </c>
      <c r="F64" s="23" t="s">
        <v>368</v>
      </c>
      <c r="G64" s="18">
        <v>0</v>
      </c>
    </row>
    <row r="65" spans="1:7" ht="15" customHeight="1" x14ac:dyDescent="0.2">
      <c r="A65" s="19" t="s">
        <v>106</v>
      </c>
      <c r="B65" s="20">
        <f>63650+68737+94778+32372+1757177+139133+176887+18270+479152+453990+212639+38318+16717+532937+92325+46168+29744+60353+74391+23399+164124+389707+152156+206102+36282+129752+29965+14218+116737+22032+482746+29611+1366538+163101+12476+144729+52146+158475+388502+47401+53440+15731+107473+507108+60804+23992+118316+268838+27045+102449+9610+0+3033+0+23299+0+1845+0+83000+0</f>
        <v>9923920</v>
      </c>
      <c r="C65" s="20">
        <f>42183+45555+62813+21454+1164546+92208+117230+12108+317552+300876+140923+25395+11079+353197+61187+30597+19713+39998+49301+15507+108771+258273+100840+136591+24045+85992+19859+9423+77366+14601+319934+19624+905654+108093+8268+95917+34559+105027+257475+31415+35417+10426+71226+336079+40297+15900+78412+178169+17924+67897+6369+0+2010+0+15441+0+1223+0+48450+0</f>
        <v>6570389</v>
      </c>
      <c r="D65" s="20">
        <f>31823+34366+47385+16185+878517+69561+88436+9134+239557+226977+106311+19157+8358+266447+46159+23082+14871+30174+37192+11699+82055+194838+76072+103042+18139+64871+14981+7109+58364+11015+241353+14804+683213+81544+6237+72359+26071+79231+194235+23699+26718+7865+53732+253533+30399+11995+59153+134408+13521+51220+4805+0+1516+0+11648+0+923+0+36550+0</f>
        <v>4956609</v>
      </c>
      <c r="E65" s="20">
        <f>SUM(C65:D65)</f>
        <v>11526998</v>
      </c>
      <c r="F65" s="20">
        <f>72318+78097+107685+36780+1996459+158079+200975+20758+544401+515812+241594+43536+18993+605510+104897+52455+33795+68572+84521+26585+186474+442775+172876+234167+41222+147421+34046+16154+132634+25032+548484+33643+1552624+185312+14174+164438+59247+180055+441406+53856+60717+17873+122108+576163+69084+27259+134427+305447+30728+116400+10919+0+3446+0+26472+0+2097+0+85000+0</f>
        <v>11266002</v>
      </c>
      <c r="G65" s="21" t="s">
        <v>369</v>
      </c>
    </row>
    <row r="66" spans="1:7" ht="15" customHeight="1" x14ac:dyDescent="0.2">
      <c r="A66" s="65" t="s">
        <v>448</v>
      </c>
      <c r="B66" s="65"/>
      <c r="C66" s="65"/>
      <c r="D66" s="65"/>
      <c r="E66" s="65"/>
      <c r="F66" s="65"/>
      <c r="G66" s="65"/>
    </row>
    <row r="67" spans="1:7" ht="15" customHeight="1" x14ac:dyDescent="0.2">
      <c r="A67" s="65" t="s">
        <v>449</v>
      </c>
      <c r="B67" s="65"/>
      <c r="C67" s="65"/>
      <c r="D67" s="65"/>
      <c r="E67" s="65"/>
      <c r="F67" s="65"/>
      <c r="G67" s="65"/>
    </row>
    <row r="68" spans="1:7" ht="15" customHeight="1" x14ac:dyDescent="0.2">
      <c r="A68" s="65" t="s">
        <v>450</v>
      </c>
      <c r="B68" s="65"/>
      <c r="C68" s="65"/>
      <c r="D68" s="65"/>
      <c r="E68" s="65"/>
      <c r="F68" s="65"/>
      <c r="G68" s="65"/>
    </row>
    <row r="69" spans="1:7" ht="15" customHeight="1" x14ac:dyDescent="0.2">
      <c r="A69" s="65" t="s">
        <v>451</v>
      </c>
      <c r="B69" s="65"/>
      <c r="C69" s="65"/>
      <c r="D69" s="65"/>
      <c r="E69" s="65"/>
      <c r="F69" s="65"/>
      <c r="G69" s="65"/>
    </row>
    <row r="70" spans="1:7" ht="15" customHeight="1" x14ac:dyDescent="0.2">
      <c r="A70" s="65" t="s">
        <v>370</v>
      </c>
      <c r="B70" s="65"/>
      <c r="C70" s="65"/>
      <c r="D70" s="65"/>
      <c r="E70" s="65"/>
      <c r="F70" s="65"/>
      <c r="G70" s="65"/>
    </row>
  </sheetData>
  <mergeCells count="9">
    <mergeCell ref="A67:G67"/>
    <mergeCell ref="A68:G68"/>
    <mergeCell ref="A69:G69"/>
    <mergeCell ref="A70:G70"/>
    <mergeCell ref="A4:A5"/>
    <mergeCell ref="B4:B5"/>
    <mergeCell ref="F4:F5"/>
    <mergeCell ref="G4:G5"/>
    <mergeCell ref="A66:G66"/>
  </mergeCells>
  <pageMargins left="0.7" right="0.7" top="0.75" bottom="0.75" header="0.3" footer="0.3"/>
  <pageSetup scale="7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371</v>
      </c>
      <c r="B1" s="10"/>
      <c r="C1" s="10"/>
      <c r="D1" s="10"/>
      <c r="E1" s="10"/>
      <c r="F1" s="10"/>
      <c r="G1" s="12" t="s">
        <v>372</v>
      </c>
    </row>
    <row r="2" spans="1:7" x14ac:dyDescent="0.2">
      <c r="A2" s="13" t="s">
        <v>373</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50072</v>
      </c>
      <c r="C6" s="17">
        <v>0</v>
      </c>
      <c r="D6" s="17">
        <v>50398</v>
      </c>
      <c r="E6" s="17">
        <v>50398</v>
      </c>
      <c r="F6" s="17">
        <v>50795</v>
      </c>
      <c r="G6" s="18">
        <f>IF(AND(F65&lt;&gt;0,50795&lt;&gt;0),IF(100*50795/(F65-0)&lt;0.005,"*",100*50795/(F65-0)),0)</f>
        <v>1.5927146825435399</v>
      </c>
    </row>
    <row r="7" spans="1:7" x14ac:dyDescent="0.2">
      <c r="A7" s="11" t="s">
        <v>108</v>
      </c>
      <c r="B7" s="17">
        <v>222528</v>
      </c>
      <c r="C7" s="17">
        <v>0</v>
      </c>
      <c r="D7" s="17">
        <v>203687</v>
      </c>
      <c r="E7" s="17">
        <v>203687</v>
      </c>
      <c r="F7" s="17">
        <v>205291</v>
      </c>
      <c r="G7" s="18">
        <f>IF(AND(F65&lt;&gt;0,205291&lt;&gt;0),IF(100*205291/(F65-0)&lt;0.005,"*",100*205291/(F65-0)),0)</f>
        <v>6.4370506918800245</v>
      </c>
    </row>
    <row r="8" spans="1:7" x14ac:dyDescent="0.2">
      <c r="A8" s="11" t="s">
        <v>109</v>
      </c>
      <c r="B8" s="17">
        <v>83655</v>
      </c>
      <c r="C8" s="17">
        <v>0</v>
      </c>
      <c r="D8" s="17">
        <v>64088</v>
      </c>
      <c r="E8" s="17">
        <v>64088</v>
      </c>
      <c r="F8" s="17">
        <v>64592</v>
      </c>
      <c r="G8" s="18">
        <f>IF(AND(F65&lt;&gt;0,64592&lt;&gt;0),IF(100*64592/(F65-0)&lt;0.005,"*",100*64592/(F65-0)),0)</f>
        <v>2.0253297918073101</v>
      </c>
    </row>
    <row r="9" spans="1:7" x14ac:dyDescent="0.2">
      <c r="A9" s="11" t="s">
        <v>110</v>
      </c>
      <c r="B9" s="17">
        <v>31802</v>
      </c>
      <c r="C9" s="17">
        <v>0</v>
      </c>
      <c r="D9" s="17">
        <v>31678</v>
      </c>
      <c r="E9" s="17">
        <v>31678</v>
      </c>
      <c r="F9" s="17">
        <v>31927</v>
      </c>
      <c r="G9" s="18">
        <f>IF(AND(F65&lt;&gt;0,31927&lt;&gt;0),IF(100*31927/(F65-0)&lt;0.005,"*",100*31927/(F65-0)),0)</f>
        <v>1.0010946287935347</v>
      </c>
    </row>
    <row r="10" spans="1:7" x14ac:dyDescent="0.2">
      <c r="A10" s="11" t="s">
        <v>111</v>
      </c>
      <c r="B10" s="17">
        <v>292478</v>
      </c>
      <c r="C10" s="17">
        <v>0</v>
      </c>
      <c r="D10" s="17">
        <v>262297</v>
      </c>
      <c r="E10" s="17">
        <v>262297</v>
      </c>
      <c r="F10" s="17">
        <v>264362</v>
      </c>
      <c r="G10" s="18">
        <f>IF(AND(F65&lt;&gt;0,264362&lt;&gt;0),IF(100*264362/(F65-0)&lt;0.005,"*",100*264362/(F65-0)),0)</f>
        <v>8.2892654573594893</v>
      </c>
    </row>
    <row r="11" spans="1:7" x14ac:dyDescent="0.2">
      <c r="A11" s="11" t="s">
        <v>112</v>
      </c>
      <c r="B11" s="17">
        <v>51099</v>
      </c>
      <c r="C11" s="17">
        <v>0</v>
      </c>
      <c r="D11" s="17">
        <v>69002</v>
      </c>
      <c r="E11" s="17">
        <v>69002</v>
      </c>
      <c r="F11" s="17">
        <v>69545</v>
      </c>
      <c r="G11" s="18">
        <f>IF(AND(F65&lt;&gt;0,69545&lt;&gt;0),IF(100*69545/(F65-0)&lt;0.005,"*",100*69545/(F65-0)),0)</f>
        <v>2.1806347592773005</v>
      </c>
    </row>
    <row r="12" spans="1:7" x14ac:dyDescent="0.2">
      <c r="A12" s="11" t="s">
        <v>113</v>
      </c>
      <c r="B12" s="17">
        <v>35663</v>
      </c>
      <c r="C12" s="17">
        <v>0</v>
      </c>
      <c r="D12" s="17">
        <v>22261</v>
      </c>
      <c r="E12" s="17">
        <v>22261</v>
      </c>
      <c r="F12" s="17">
        <v>22436</v>
      </c>
      <c r="G12" s="18">
        <f>IF(AND(F65&lt;&gt;0,22436&lt;&gt;0),IF(100*22436/(F65-0)&lt;0.005,"*",100*22436/(F65-0)),0)</f>
        <v>0.70349732488526151</v>
      </c>
    </row>
    <row r="13" spans="1:7" x14ac:dyDescent="0.2">
      <c r="A13" s="11" t="s">
        <v>114</v>
      </c>
      <c r="B13" s="17">
        <v>6089</v>
      </c>
      <c r="C13" s="17">
        <v>0</v>
      </c>
      <c r="D13" s="17">
        <v>8216</v>
      </c>
      <c r="E13" s="17">
        <v>8216</v>
      </c>
      <c r="F13" s="17">
        <v>8281</v>
      </c>
      <c r="G13" s="18">
        <f>IF(AND(F65&lt;&gt;0,8281&lt;&gt;0),IF(100*8281/(F65-0)&lt;0.005,"*",100*8281/(F65-0)),0)</f>
        <v>0.25965686162305451</v>
      </c>
    </row>
    <row r="14" spans="1:7" x14ac:dyDescent="0.2">
      <c r="A14" s="11" t="s">
        <v>115</v>
      </c>
      <c r="B14" s="17">
        <v>250</v>
      </c>
      <c r="C14" s="17">
        <v>0</v>
      </c>
      <c r="D14" s="17">
        <v>242</v>
      </c>
      <c r="E14" s="17">
        <v>242</v>
      </c>
      <c r="F14" s="17">
        <v>244</v>
      </c>
      <c r="G14" s="18">
        <f>IF(AND(F65&lt;&gt;0,244&lt;&gt;0),IF(100*244/(F65-0)&lt;0.005,"*",100*244/(F65-0)),0)</f>
        <v>7.6507999318953385E-3</v>
      </c>
    </row>
    <row r="15" spans="1:7" x14ac:dyDescent="0.2">
      <c r="A15" s="11" t="s">
        <v>116</v>
      </c>
      <c r="B15" s="17">
        <v>219656</v>
      </c>
      <c r="C15" s="17">
        <v>0</v>
      </c>
      <c r="D15" s="17">
        <v>162962</v>
      </c>
      <c r="E15" s="17">
        <v>162962</v>
      </c>
      <c r="F15" s="17">
        <v>164244</v>
      </c>
      <c r="G15" s="18">
        <f>IF(AND(F65&lt;&gt;0,164244&lt;&gt;0),IF(100*164244/(F65-0)&lt;0.005,"*",100*164244/(F65-0)),0)</f>
        <v>5.1499917377631883</v>
      </c>
    </row>
    <row r="16" spans="1:7" x14ac:dyDescent="0.2">
      <c r="A16" s="11" t="s">
        <v>117</v>
      </c>
      <c r="B16" s="17">
        <v>75442</v>
      </c>
      <c r="C16" s="17">
        <v>0</v>
      </c>
      <c r="D16" s="17">
        <v>74123</v>
      </c>
      <c r="E16" s="17">
        <v>74123</v>
      </c>
      <c r="F16" s="17">
        <v>74707</v>
      </c>
      <c r="G16" s="18">
        <f>IF(AND(F65&lt;&gt;0,74707&lt;&gt;0),IF(100*74707/(F65-0)&lt;0.005,"*",100*74707/(F65-0)),0)</f>
        <v>2.342493075869283</v>
      </c>
    </row>
    <row r="17" spans="1:7" x14ac:dyDescent="0.2">
      <c r="A17" s="11" t="s">
        <v>118</v>
      </c>
      <c r="B17" s="17">
        <v>13803</v>
      </c>
      <c r="C17" s="17">
        <v>0</v>
      </c>
      <c r="D17" s="17">
        <v>25134</v>
      </c>
      <c r="E17" s="17">
        <v>25134</v>
      </c>
      <c r="F17" s="17">
        <v>25332</v>
      </c>
      <c r="G17" s="18">
        <f>IF(AND(F65&lt;&gt;0,25332&lt;&gt;0),IF(100*25332/(F65-0)&lt;0.005,"*",100*25332/(F65-0)),0)</f>
        <v>0.79430354047037999</v>
      </c>
    </row>
    <row r="18" spans="1:7" x14ac:dyDescent="0.2">
      <c r="A18" s="11" t="s">
        <v>119</v>
      </c>
      <c r="B18" s="17">
        <v>36991</v>
      </c>
      <c r="C18" s="17">
        <v>0</v>
      </c>
      <c r="D18" s="17">
        <v>29863</v>
      </c>
      <c r="E18" s="17">
        <v>29863</v>
      </c>
      <c r="F18" s="17">
        <v>30098</v>
      </c>
      <c r="G18" s="18">
        <f>IF(AND(F65&lt;&gt;0,30098&lt;&gt;0),IF(100*30098/(F65-0)&lt;0.005,"*",100*30098/(F65-0)),0)</f>
        <v>0.94374498504174542</v>
      </c>
    </row>
    <row r="19" spans="1:7" x14ac:dyDescent="0.2">
      <c r="A19" s="11" t="s">
        <v>120</v>
      </c>
      <c r="B19" s="17">
        <v>127586</v>
      </c>
      <c r="C19" s="17">
        <v>0</v>
      </c>
      <c r="D19" s="17">
        <v>148963</v>
      </c>
      <c r="E19" s="17">
        <v>148963</v>
      </c>
      <c r="F19" s="17">
        <v>150136</v>
      </c>
      <c r="G19" s="18">
        <f>IF(AND(F65&lt;&gt;0,150136&lt;&gt;0),IF(100*150136/(F65-0)&lt;0.005,"*",100*150136/(F65-0)),0)</f>
        <v>4.7076249941599935</v>
      </c>
    </row>
    <row r="20" spans="1:7" x14ac:dyDescent="0.2">
      <c r="A20" s="11" t="s">
        <v>121</v>
      </c>
      <c r="B20" s="17">
        <v>59878</v>
      </c>
      <c r="C20" s="17">
        <v>0</v>
      </c>
      <c r="D20" s="17">
        <v>61694</v>
      </c>
      <c r="E20" s="17">
        <v>61694</v>
      </c>
      <c r="F20" s="17">
        <v>62180</v>
      </c>
      <c r="G20" s="18">
        <f>IF(AND(F65&lt;&gt;0,62180&lt;&gt;0),IF(100*62180/(F65-0)&lt;0.005,"*",100*62180/(F65-0)),0)</f>
        <v>1.9496997531362792</v>
      </c>
    </row>
    <row r="21" spans="1:7" x14ac:dyDescent="0.2">
      <c r="A21" s="11" t="s">
        <v>122</v>
      </c>
      <c r="B21" s="17">
        <v>43754</v>
      </c>
      <c r="C21" s="17">
        <v>0</v>
      </c>
      <c r="D21" s="17">
        <v>33888</v>
      </c>
      <c r="E21" s="17">
        <v>33888</v>
      </c>
      <c r="F21" s="17">
        <v>34155</v>
      </c>
      <c r="G21" s="18">
        <f>IF(AND(F65&lt;&gt;0,34155&lt;&gt;0),IF(100*34155/(F65-0)&lt;0.005,"*",100*34155/(F65-0)),0)</f>
        <v>1.0709552117782184</v>
      </c>
    </row>
    <row r="22" spans="1:7" x14ac:dyDescent="0.2">
      <c r="A22" s="11" t="s">
        <v>123</v>
      </c>
      <c r="B22" s="17">
        <v>39700</v>
      </c>
      <c r="C22" s="17">
        <v>0</v>
      </c>
      <c r="D22" s="17">
        <v>37046</v>
      </c>
      <c r="E22" s="17">
        <v>37046</v>
      </c>
      <c r="F22" s="17">
        <v>37337</v>
      </c>
      <c r="G22" s="18">
        <f>IF(AND(F65&lt;&gt;0,37337&lt;&gt;0),IF(100*37337/(F65-0)&lt;0.005,"*",100*37337/(F65-0)),0)</f>
        <v>1.1707291682671157</v>
      </c>
    </row>
    <row r="23" spans="1:7" x14ac:dyDescent="0.2">
      <c r="A23" s="11" t="s">
        <v>124</v>
      </c>
      <c r="B23" s="17">
        <v>36094</v>
      </c>
      <c r="C23" s="17">
        <v>0</v>
      </c>
      <c r="D23" s="17">
        <v>42706</v>
      </c>
      <c r="E23" s="17">
        <v>42706</v>
      </c>
      <c r="F23" s="17">
        <v>43043</v>
      </c>
      <c r="G23" s="18">
        <f>IF(AND(F65&lt;&gt;0,43043&lt;&gt;0),IF(100*43043/(F65-0)&lt;0.005,"*",100*43043/(F65-0)),0)</f>
        <v>1.3496450060187337</v>
      </c>
    </row>
    <row r="24" spans="1:7" x14ac:dyDescent="0.2">
      <c r="A24" s="11" t="s">
        <v>125</v>
      </c>
      <c r="B24" s="17">
        <v>72240</v>
      </c>
      <c r="C24" s="17">
        <v>0</v>
      </c>
      <c r="D24" s="17">
        <v>67336</v>
      </c>
      <c r="E24" s="17">
        <v>67336</v>
      </c>
      <c r="F24" s="17">
        <v>67866</v>
      </c>
      <c r="G24" s="18">
        <f>IF(AND(F65&lt;&gt;0,67866&lt;&gt;0),IF(100*67866/(F65-0)&lt;0.005,"*",100*67866/(F65-0)),0)</f>
        <v>2.1279884761393815</v>
      </c>
    </row>
    <row r="25" spans="1:7" x14ac:dyDescent="0.2">
      <c r="A25" s="11" t="s">
        <v>126</v>
      </c>
      <c r="B25" s="17">
        <v>20430</v>
      </c>
      <c r="C25" s="17">
        <v>0</v>
      </c>
      <c r="D25" s="17">
        <v>21863</v>
      </c>
      <c r="E25" s="17">
        <v>21863</v>
      </c>
      <c r="F25" s="17">
        <v>22036</v>
      </c>
      <c r="G25" s="18">
        <f>IF(AND(F65&lt;&gt;0,22036&lt;&gt;0),IF(100*22036/(F65-0)&lt;0.005,"*",100*22036/(F65-0)),0)</f>
        <v>0.69095502991494129</v>
      </c>
    </row>
    <row r="26" spans="1:7" x14ac:dyDescent="0.2">
      <c r="A26" s="11" t="s">
        <v>127</v>
      </c>
      <c r="B26" s="17">
        <v>26307</v>
      </c>
      <c r="C26" s="17">
        <v>0</v>
      </c>
      <c r="D26" s="17">
        <v>29371</v>
      </c>
      <c r="E26" s="17">
        <v>29371</v>
      </c>
      <c r="F26" s="17">
        <v>29602</v>
      </c>
      <c r="G26" s="18">
        <f>IF(AND(F65&lt;&gt;0,29602&lt;&gt;0),IF(100*29602/(F65-0)&lt;0.005,"*",100*29602/(F65-0)),0)</f>
        <v>0.92819253927854839</v>
      </c>
    </row>
    <row r="27" spans="1:7" x14ac:dyDescent="0.2">
      <c r="A27" s="11" t="s">
        <v>128</v>
      </c>
      <c r="B27" s="17">
        <v>35868</v>
      </c>
      <c r="C27" s="17">
        <v>0</v>
      </c>
      <c r="D27" s="17">
        <v>39170</v>
      </c>
      <c r="E27" s="17">
        <v>39170</v>
      </c>
      <c r="F27" s="17">
        <v>39479</v>
      </c>
      <c r="G27" s="18">
        <f>IF(AND(F65&lt;&gt;0,39479&lt;&gt;0),IF(100*39479/(F65-0)&lt;0.005,"*",100*39479/(F65-0)),0)</f>
        <v>1.2378931578331807</v>
      </c>
    </row>
    <row r="28" spans="1:7" x14ac:dyDescent="0.2">
      <c r="A28" s="11" t="s">
        <v>129</v>
      </c>
      <c r="B28" s="17">
        <v>67440</v>
      </c>
      <c r="C28" s="17">
        <v>0</v>
      </c>
      <c r="D28" s="17">
        <v>66545</v>
      </c>
      <c r="E28" s="17">
        <v>66545</v>
      </c>
      <c r="F28" s="17">
        <v>67068</v>
      </c>
      <c r="G28" s="18">
        <f>IF(AND(F65&lt;&gt;0,67068&lt;&gt;0),IF(100*67068/(F65-0)&lt;0.005,"*",100*67068/(F65-0)),0)</f>
        <v>2.1029665976735923</v>
      </c>
    </row>
    <row r="29" spans="1:7" x14ac:dyDescent="0.2">
      <c r="A29" s="11" t="s">
        <v>130</v>
      </c>
      <c r="B29" s="17">
        <v>39528</v>
      </c>
      <c r="C29" s="17">
        <v>0</v>
      </c>
      <c r="D29" s="17">
        <v>46276</v>
      </c>
      <c r="E29" s="17">
        <v>46276</v>
      </c>
      <c r="F29" s="17">
        <v>46640</v>
      </c>
      <c r="G29" s="18">
        <f>IF(AND(F65&lt;&gt;0,46640&lt;&gt;0),IF(100*46640/(F65-0)&lt;0.005,"*",100*46640/(F65-0)),0)</f>
        <v>1.4624315935393384</v>
      </c>
    </row>
    <row r="30" spans="1:7" x14ac:dyDescent="0.2">
      <c r="A30" s="11" t="s">
        <v>131</v>
      </c>
      <c r="B30" s="17">
        <v>31297</v>
      </c>
      <c r="C30" s="17">
        <v>0</v>
      </c>
      <c r="D30" s="17">
        <v>36624</v>
      </c>
      <c r="E30" s="17">
        <v>36624</v>
      </c>
      <c r="F30" s="17">
        <v>36913</v>
      </c>
      <c r="G30" s="18">
        <f>IF(AND(F65&lt;&gt;0,36913&lt;&gt;0),IF(100*36913/(F65-0)&lt;0.005,"*",100*36913/(F65-0)),0)</f>
        <v>1.1574343355985763</v>
      </c>
    </row>
    <row r="31" spans="1:7" x14ac:dyDescent="0.2">
      <c r="A31" s="11" t="s">
        <v>132</v>
      </c>
      <c r="B31" s="17">
        <v>57710</v>
      </c>
      <c r="C31" s="17">
        <v>0</v>
      </c>
      <c r="D31" s="17">
        <v>60880</v>
      </c>
      <c r="E31" s="17">
        <v>60880</v>
      </c>
      <c r="F31" s="17">
        <v>61359</v>
      </c>
      <c r="G31" s="18">
        <f>IF(AND(F65&lt;&gt;0,61359&lt;&gt;0),IF(100*61359/(F65-0)&lt;0.005,"*",100*61359/(F65-0)),0)</f>
        <v>1.9239566927096969</v>
      </c>
    </row>
    <row r="32" spans="1:7" x14ac:dyDescent="0.2">
      <c r="A32" s="11" t="s">
        <v>133</v>
      </c>
      <c r="B32" s="17">
        <v>40873</v>
      </c>
      <c r="C32" s="17">
        <v>0</v>
      </c>
      <c r="D32" s="17">
        <v>39107</v>
      </c>
      <c r="E32" s="17">
        <v>39107</v>
      </c>
      <c r="F32" s="17">
        <v>39414</v>
      </c>
      <c r="G32" s="18">
        <f>IF(AND(F65&lt;&gt;0,39414&lt;&gt;0),IF(100*39414/(F65-0)&lt;0.005,"*",100*39414/(F65-0)),0)</f>
        <v>1.2358550349005035</v>
      </c>
    </row>
    <row r="33" spans="1:7" x14ac:dyDescent="0.2">
      <c r="A33" s="11" t="s">
        <v>134</v>
      </c>
      <c r="B33" s="17">
        <v>33905</v>
      </c>
      <c r="C33" s="17">
        <v>0</v>
      </c>
      <c r="D33" s="17">
        <v>36781</v>
      </c>
      <c r="E33" s="17">
        <v>36781</v>
      </c>
      <c r="F33" s="17">
        <v>37071</v>
      </c>
      <c r="G33" s="18">
        <f>IF(AND(F65&lt;&gt;0,37071&lt;&gt;0),IF(100*37071/(F65-0)&lt;0.005,"*",100*37071/(F65-0)),0)</f>
        <v>1.1623885421118527</v>
      </c>
    </row>
    <row r="34" spans="1:7" x14ac:dyDescent="0.2">
      <c r="A34" s="11" t="s">
        <v>135</v>
      </c>
      <c r="B34" s="17">
        <v>35093</v>
      </c>
      <c r="C34" s="17">
        <v>0</v>
      </c>
      <c r="D34" s="17">
        <v>43761</v>
      </c>
      <c r="E34" s="17">
        <v>43761</v>
      </c>
      <c r="F34" s="17">
        <v>44105</v>
      </c>
      <c r="G34" s="18">
        <f>IF(AND(F65&lt;&gt;0,44105&lt;&gt;0),IF(100*44105/(F65-0)&lt;0.005,"*",100*44105/(F65-0)),0)</f>
        <v>1.382944799164934</v>
      </c>
    </row>
    <row r="35" spans="1:7" x14ac:dyDescent="0.2">
      <c r="A35" s="11" t="s">
        <v>136</v>
      </c>
      <c r="B35" s="17">
        <v>14580</v>
      </c>
      <c r="C35" s="17">
        <v>0</v>
      </c>
      <c r="D35" s="17">
        <v>10516</v>
      </c>
      <c r="E35" s="17">
        <v>10516</v>
      </c>
      <c r="F35" s="17">
        <v>10599</v>
      </c>
      <c r="G35" s="18">
        <f>IF(AND(F65&lt;&gt;0,10599&lt;&gt;0),IF(100*10599/(F65-0)&lt;0.005,"*",100*10599/(F65-0)),0)</f>
        <v>0.33233946097606021</v>
      </c>
    </row>
    <row r="36" spans="1:7" x14ac:dyDescent="0.2">
      <c r="A36" s="11" t="s">
        <v>137</v>
      </c>
      <c r="B36" s="17">
        <v>19792</v>
      </c>
      <c r="C36" s="17">
        <v>0</v>
      </c>
      <c r="D36" s="17">
        <v>23226</v>
      </c>
      <c r="E36" s="17">
        <v>23226</v>
      </c>
      <c r="F36" s="17">
        <v>23409</v>
      </c>
      <c r="G36" s="18">
        <f>IF(AND(F65&lt;&gt;0,23409&lt;&gt;0),IF(100*23409/(F65-0)&lt;0.005,"*",100*23409/(F65-0)),0)</f>
        <v>0.73400645740056547</v>
      </c>
    </row>
    <row r="37" spans="1:7" x14ac:dyDescent="0.2">
      <c r="A37" s="11" t="s">
        <v>138</v>
      </c>
      <c r="B37" s="17">
        <v>30104</v>
      </c>
      <c r="C37" s="17">
        <v>0</v>
      </c>
      <c r="D37" s="17">
        <v>32549</v>
      </c>
      <c r="E37" s="17">
        <v>32549</v>
      </c>
      <c r="F37" s="17">
        <v>32806</v>
      </c>
      <c r="G37" s="18">
        <f>IF(AND(F65&lt;&gt;0,32806&lt;&gt;0),IF(100*32806/(F65-0)&lt;0.005,"*",100*32806/(F65-0)),0)</f>
        <v>1.0286563219908134</v>
      </c>
    </row>
    <row r="38" spans="1:7" x14ac:dyDescent="0.2">
      <c r="A38" s="11" t="s">
        <v>139</v>
      </c>
      <c r="B38" s="17">
        <v>106607</v>
      </c>
      <c r="C38" s="17">
        <v>0</v>
      </c>
      <c r="D38" s="17">
        <v>107213</v>
      </c>
      <c r="E38" s="17">
        <v>107213</v>
      </c>
      <c r="F38" s="17">
        <v>108057</v>
      </c>
      <c r="G38" s="18">
        <f>IF(AND(F65&lt;&gt;0,108057&lt;&gt;0),IF(100*108057/(F65-0)&lt;0.005,"*",100*108057/(F65-0)),0)</f>
        <v>3.3882069190197317</v>
      </c>
    </row>
    <row r="39" spans="1:7" x14ac:dyDescent="0.2">
      <c r="A39" s="11" t="s">
        <v>140</v>
      </c>
      <c r="B39" s="17">
        <v>116244</v>
      </c>
      <c r="C39" s="17">
        <v>0</v>
      </c>
      <c r="D39" s="17">
        <v>81532</v>
      </c>
      <c r="E39" s="17">
        <v>81532</v>
      </c>
      <c r="F39" s="17">
        <v>82174</v>
      </c>
      <c r="G39" s="18">
        <f>IF(AND(F65&lt;&gt;0,82174&lt;&gt;0),IF(100*82174/(F65-0)&lt;0.005,"*",100*82174/(F65-0)),0)</f>
        <v>2.5766263672277359</v>
      </c>
    </row>
    <row r="40" spans="1:7" x14ac:dyDescent="0.2">
      <c r="A40" s="11" t="s">
        <v>141</v>
      </c>
      <c r="B40" s="17">
        <v>81799</v>
      </c>
      <c r="C40" s="17">
        <v>0</v>
      </c>
      <c r="D40" s="17">
        <v>61442</v>
      </c>
      <c r="E40" s="17">
        <v>61442</v>
      </c>
      <c r="F40" s="17">
        <v>61926</v>
      </c>
      <c r="G40" s="18">
        <f>IF(AND(F65&lt;&gt;0,61926&lt;&gt;0),IF(100*61926/(F65-0)&lt;0.005,"*",100*61926/(F65-0)),0)</f>
        <v>1.941735395830126</v>
      </c>
    </row>
    <row r="41" spans="1:7" x14ac:dyDescent="0.2">
      <c r="A41" s="11" t="s">
        <v>142</v>
      </c>
      <c r="B41" s="17">
        <v>96829</v>
      </c>
      <c r="C41" s="17">
        <v>0</v>
      </c>
      <c r="D41" s="17">
        <v>74429</v>
      </c>
      <c r="E41" s="17">
        <v>74429</v>
      </c>
      <c r="F41" s="17">
        <v>75014</v>
      </c>
      <c r="G41" s="18">
        <f>IF(AND(F65&lt;&gt;0,75014&lt;&gt;0),IF(100*75014/(F65-0)&lt;0.005,"*",100*75014/(F65-0)),0)</f>
        <v>2.3521192872590038</v>
      </c>
    </row>
    <row r="42" spans="1:7" x14ac:dyDescent="0.2">
      <c r="A42" s="11" t="s">
        <v>143</v>
      </c>
      <c r="B42" s="17">
        <v>41925</v>
      </c>
      <c r="C42" s="17">
        <v>0</v>
      </c>
      <c r="D42" s="17">
        <v>37285</v>
      </c>
      <c r="E42" s="17">
        <v>37285</v>
      </c>
      <c r="F42" s="17">
        <v>37579</v>
      </c>
      <c r="G42" s="18">
        <f>IF(AND(F65&lt;&gt;0,37579&lt;&gt;0),IF(100*37579/(F65-0)&lt;0.005,"*",100*37579/(F65-0)),0)</f>
        <v>1.1783172567241595</v>
      </c>
    </row>
    <row r="43" spans="1:7" x14ac:dyDescent="0.2">
      <c r="A43" s="11" t="s">
        <v>144</v>
      </c>
      <c r="B43" s="17">
        <v>48987</v>
      </c>
      <c r="C43" s="17">
        <v>0</v>
      </c>
      <c r="D43" s="17">
        <v>50268</v>
      </c>
      <c r="E43" s="17">
        <v>50268</v>
      </c>
      <c r="F43" s="17">
        <v>50664</v>
      </c>
      <c r="G43" s="18">
        <f>IF(AND(F65&lt;&gt;0,50664&lt;&gt;0),IF(100*50664/(F65-0)&lt;0.005,"*",100*50664/(F65-0)),0)</f>
        <v>1.58860708094076</v>
      </c>
    </row>
    <row r="44" spans="1:7" x14ac:dyDescent="0.2">
      <c r="A44" s="11" t="s">
        <v>145</v>
      </c>
      <c r="B44" s="17">
        <v>84267</v>
      </c>
      <c r="C44" s="17">
        <v>0</v>
      </c>
      <c r="D44" s="17">
        <v>70881</v>
      </c>
      <c r="E44" s="17">
        <v>70881</v>
      </c>
      <c r="F44" s="17">
        <v>71439</v>
      </c>
      <c r="G44" s="18">
        <f>IF(AND(F65&lt;&gt;0,71439&lt;&gt;0),IF(100*71439/(F65-0)&lt;0.005,"*",100*71439/(F65-0)),0)</f>
        <v>2.2400225259617668</v>
      </c>
    </row>
    <row r="45" spans="1:7" x14ac:dyDescent="0.2">
      <c r="A45" s="11" t="s">
        <v>146</v>
      </c>
      <c r="B45" s="17">
        <v>11564</v>
      </c>
      <c r="C45" s="17">
        <v>0</v>
      </c>
      <c r="D45" s="17">
        <v>26822</v>
      </c>
      <c r="E45" s="17">
        <v>26822</v>
      </c>
      <c r="F45" s="17">
        <v>27033</v>
      </c>
      <c r="G45" s="18">
        <f>IF(AND(F65&lt;&gt;0,27033&lt;&gt;0),IF(100*27033/(F65-0)&lt;0.005,"*",100*27033/(F65-0)),0)</f>
        <v>0.84763964983166673</v>
      </c>
    </row>
    <row r="46" spans="1:7" x14ac:dyDescent="0.2">
      <c r="A46" s="11" t="s">
        <v>147</v>
      </c>
      <c r="B46" s="17">
        <v>61503</v>
      </c>
      <c r="C46" s="17">
        <v>0</v>
      </c>
      <c r="D46" s="17">
        <v>63646</v>
      </c>
      <c r="E46" s="17">
        <v>63646</v>
      </c>
      <c r="F46" s="17">
        <v>64147</v>
      </c>
      <c r="G46" s="18">
        <f>IF(AND(F65&lt;&gt;0,64147&lt;&gt;0),IF(100*64147/(F65-0)&lt;0.005,"*",100*64147/(F65-0)),0)</f>
        <v>2.0113764886528291</v>
      </c>
    </row>
    <row r="47" spans="1:7" x14ac:dyDescent="0.2">
      <c r="A47" s="11" t="s">
        <v>148</v>
      </c>
      <c r="B47" s="17">
        <v>28595</v>
      </c>
      <c r="C47" s="17">
        <v>0</v>
      </c>
      <c r="D47" s="17">
        <v>25847</v>
      </c>
      <c r="E47" s="17">
        <v>25847</v>
      </c>
      <c r="F47" s="17">
        <v>26050</v>
      </c>
      <c r="G47" s="18">
        <f>IF(AND(F65&lt;&gt;0,26050&lt;&gt;0),IF(100*26050/(F65-0)&lt;0.005,"*",100*26050/(F65-0)),0)</f>
        <v>0.81681695994210479</v>
      </c>
    </row>
    <row r="48" spans="1:7" x14ac:dyDescent="0.2">
      <c r="A48" s="11" t="s">
        <v>149</v>
      </c>
      <c r="B48" s="17">
        <v>68311</v>
      </c>
      <c r="C48" s="17">
        <v>0</v>
      </c>
      <c r="D48" s="17">
        <v>65343</v>
      </c>
      <c r="E48" s="17">
        <v>65343</v>
      </c>
      <c r="F48" s="17">
        <v>65857</v>
      </c>
      <c r="G48" s="18">
        <f>IF(AND(F65&lt;&gt;0,65857&lt;&gt;0),IF(100*65857/(F65-0)&lt;0.005,"*",100*65857/(F65-0)),0)</f>
        <v>2.0649947996509481</v>
      </c>
    </row>
    <row r="49" spans="1:7" x14ac:dyDescent="0.2">
      <c r="A49" s="11" t="s">
        <v>150</v>
      </c>
      <c r="B49" s="17">
        <v>255074</v>
      </c>
      <c r="C49" s="17">
        <v>0</v>
      </c>
      <c r="D49" s="17">
        <v>248387</v>
      </c>
      <c r="E49" s="17">
        <v>248387</v>
      </c>
      <c r="F49" s="17">
        <v>250342</v>
      </c>
      <c r="G49" s="18">
        <f>IF(AND(F65&lt;&gt;0,250342&lt;&gt;0),IF(100*250342/(F65-0)&lt;0.005,"*",100*250342/(F65-0)),0)</f>
        <v>7.8496580186497651</v>
      </c>
    </row>
    <row r="50" spans="1:7" x14ac:dyDescent="0.2">
      <c r="A50" s="11" t="s">
        <v>151</v>
      </c>
      <c r="B50" s="17">
        <v>52426</v>
      </c>
      <c r="C50" s="17">
        <v>0</v>
      </c>
      <c r="D50" s="17">
        <v>46295</v>
      </c>
      <c r="E50" s="17">
        <v>46295</v>
      </c>
      <c r="F50" s="17">
        <v>46660</v>
      </c>
      <c r="G50" s="18">
        <f>IF(AND(F65&lt;&gt;0,46660&lt;&gt;0),IF(100*46660/(F65-0)&lt;0.005,"*",100*46660/(F65-0)),0)</f>
        <v>1.4630587082878546</v>
      </c>
    </row>
    <row r="51" spans="1:7" x14ac:dyDescent="0.2">
      <c r="A51" s="11" t="s">
        <v>152</v>
      </c>
      <c r="B51" s="17">
        <v>19998</v>
      </c>
      <c r="C51" s="17">
        <v>0</v>
      </c>
      <c r="D51" s="17">
        <v>21517</v>
      </c>
      <c r="E51" s="17">
        <v>21517</v>
      </c>
      <c r="F51" s="17">
        <v>21687</v>
      </c>
      <c r="G51" s="18">
        <f>IF(AND(F65&lt;&gt;0,21687&lt;&gt;0),IF(100*21687/(F65-0)&lt;0.005,"*",100*21687/(F65-0)),0)</f>
        <v>0.68001187755333692</v>
      </c>
    </row>
    <row r="52" spans="1:7" x14ac:dyDescent="0.2">
      <c r="A52" s="11" t="s">
        <v>153</v>
      </c>
      <c r="B52" s="17">
        <v>59030</v>
      </c>
      <c r="C52" s="17">
        <v>0</v>
      </c>
      <c r="D52" s="17">
        <v>69600</v>
      </c>
      <c r="E52" s="17">
        <v>69600</v>
      </c>
      <c r="F52" s="17">
        <v>70148</v>
      </c>
      <c r="G52" s="18">
        <f>IF(AND(F65&lt;&gt;0,70148&lt;&gt;0),IF(100*70148/(F65-0)&lt;0.005,"*",100*70148/(F65-0)),0)</f>
        <v>2.1995422689450583</v>
      </c>
    </row>
    <row r="53" spans="1:7" x14ac:dyDescent="0.2">
      <c r="A53" s="11" t="s">
        <v>154</v>
      </c>
      <c r="B53" s="17">
        <v>81939</v>
      </c>
      <c r="C53" s="17">
        <v>0</v>
      </c>
      <c r="D53" s="17">
        <v>73700</v>
      </c>
      <c r="E53" s="17">
        <v>73700</v>
      </c>
      <c r="F53" s="17">
        <v>74280</v>
      </c>
      <c r="G53" s="18">
        <f>IF(AND(F65&lt;&gt;0,74280&lt;&gt;0),IF(100*74280/(F65-0)&lt;0.005,"*",100*74280/(F65-0)),0)</f>
        <v>2.3291041759884661</v>
      </c>
    </row>
    <row r="54" spans="1:7" x14ac:dyDescent="0.2">
      <c r="A54" s="11" t="s">
        <v>155</v>
      </c>
      <c r="B54" s="17">
        <v>32880</v>
      </c>
      <c r="C54" s="17">
        <v>0</v>
      </c>
      <c r="D54" s="17">
        <v>19557</v>
      </c>
      <c r="E54" s="17">
        <v>19557</v>
      </c>
      <c r="F54" s="17">
        <v>19711</v>
      </c>
      <c r="G54" s="18">
        <f>IF(AND(F65&lt;&gt;0,19711&lt;&gt;0),IF(100*19711/(F65-0)&lt;0.005,"*",100*19711/(F65-0)),0)</f>
        <v>0.61805294039995495</v>
      </c>
    </row>
    <row r="55" spans="1:7" x14ac:dyDescent="0.2">
      <c r="A55" s="11" t="s">
        <v>156</v>
      </c>
      <c r="B55" s="17">
        <v>58172</v>
      </c>
      <c r="C55" s="17">
        <v>0</v>
      </c>
      <c r="D55" s="17">
        <v>50498</v>
      </c>
      <c r="E55" s="17">
        <v>50498</v>
      </c>
      <c r="F55" s="17">
        <v>50896</v>
      </c>
      <c r="G55" s="18">
        <f>IF(AND(F65&lt;&gt;0,50896&lt;&gt;0),IF(100*50896/(F65-0)&lt;0.005,"*",100*50896/(F65-0)),0)</f>
        <v>1.5958816120235457</v>
      </c>
    </row>
    <row r="56" spans="1:7" x14ac:dyDescent="0.2">
      <c r="A56" s="11" t="s">
        <v>157</v>
      </c>
      <c r="B56" s="17">
        <v>32588</v>
      </c>
      <c r="C56" s="17">
        <v>0</v>
      </c>
      <c r="D56" s="17">
        <v>30562</v>
      </c>
      <c r="E56" s="17">
        <v>30562</v>
      </c>
      <c r="F56" s="17">
        <v>30803</v>
      </c>
      <c r="G56" s="18">
        <f>IF(AND(F65&lt;&gt;0,30803&lt;&gt;0),IF(100*30803/(F65-0)&lt;0.005,"*",100*30803/(F65-0)),0)</f>
        <v>0.96585077992693491</v>
      </c>
    </row>
    <row r="57" spans="1:7" x14ac:dyDescent="0.2">
      <c r="A57" s="11" t="s">
        <v>158</v>
      </c>
      <c r="B57" s="17">
        <v>15663</v>
      </c>
      <c r="C57" s="17">
        <v>0</v>
      </c>
      <c r="D57" s="17">
        <v>11028</v>
      </c>
      <c r="E57" s="17">
        <v>11028</v>
      </c>
      <c r="F57" s="17">
        <v>11114</v>
      </c>
      <c r="G57" s="18">
        <f>IF(AND(F65&lt;&gt;0,11114&lt;&gt;0),IF(100*11114/(F65-0)&lt;0.005,"*",100*11114/(F65-0)),0)</f>
        <v>0.34848766575034751</v>
      </c>
    </row>
    <row r="58" spans="1:7" x14ac:dyDescent="0.2">
      <c r="A58" s="11" t="s">
        <v>159</v>
      </c>
      <c r="B58" s="17">
        <v>9701</v>
      </c>
      <c r="C58" s="17">
        <v>0</v>
      </c>
      <c r="D58" s="17">
        <v>6665</v>
      </c>
      <c r="E58" s="17">
        <v>6665</v>
      </c>
      <c r="F58" s="17">
        <v>6717</v>
      </c>
      <c r="G58" s="18">
        <f>IF(AND(F65&lt;&gt;0,6717&lt;&gt;0),IF(100*6717/(F65-0)&lt;0.005,"*",100*6717/(F65-0)),0)</f>
        <v>0.2106164882891024</v>
      </c>
    </row>
    <row r="59" spans="1:7" x14ac:dyDescent="0.2">
      <c r="A59" s="11" t="s">
        <v>160</v>
      </c>
      <c r="B59" s="17">
        <v>8817</v>
      </c>
      <c r="C59" s="17">
        <v>0</v>
      </c>
      <c r="D59" s="17">
        <v>6530</v>
      </c>
      <c r="E59" s="17">
        <v>6530</v>
      </c>
      <c r="F59" s="17">
        <v>6581</v>
      </c>
      <c r="G59" s="18">
        <f>IF(AND(F65&lt;&gt;0,6581&lt;&gt;0),IF(100*6581/(F65-0)&lt;0.005,"*",100*6581/(F65-0)),0)</f>
        <v>0.20635210799919354</v>
      </c>
    </row>
    <row r="60" spans="1:7" x14ac:dyDescent="0.2">
      <c r="A60" s="11" t="s">
        <v>161</v>
      </c>
      <c r="B60" s="17">
        <v>3424</v>
      </c>
      <c r="C60" s="17">
        <v>0</v>
      </c>
      <c r="D60" s="17">
        <v>10770</v>
      </c>
      <c r="E60" s="17">
        <v>10770</v>
      </c>
      <c r="F60" s="17">
        <v>10855</v>
      </c>
      <c r="G60" s="18">
        <f>IF(AND(F65&lt;&gt;0,10855&lt;&gt;0),IF(100*10855/(F65-0)&lt;0.005,"*",100*10855/(F65-0)),0)</f>
        <v>0.34036652975706516</v>
      </c>
    </row>
    <row r="61" spans="1:7" x14ac:dyDescent="0.2">
      <c r="A61" s="11" t="s">
        <v>162</v>
      </c>
      <c r="B61" s="17">
        <v>3000</v>
      </c>
      <c r="C61" s="17">
        <v>0</v>
      </c>
      <c r="D61" s="17">
        <v>15317</v>
      </c>
      <c r="E61" s="17">
        <v>15317</v>
      </c>
      <c r="F61" s="17">
        <v>15437</v>
      </c>
      <c r="G61" s="18">
        <f>IF(AND(F65&lt;&gt;0,15437&lt;&gt;0),IF(100*15437/(F65-0)&lt;0.005,"*",100*15437/(F65-0)),0)</f>
        <v>0.48403851864208336</v>
      </c>
    </row>
    <row r="62" spans="1:7" x14ac:dyDescent="0.2">
      <c r="A62" s="11" t="s">
        <v>163</v>
      </c>
      <c r="B62" s="17">
        <v>1751</v>
      </c>
      <c r="C62" s="17">
        <v>0</v>
      </c>
      <c r="D62" s="17">
        <v>6911</v>
      </c>
      <c r="E62" s="17">
        <v>6911</v>
      </c>
      <c r="F62" s="17">
        <v>6966</v>
      </c>
      <c r="G62" s="18">
        <f>IF(AND(F65&lt;&gt;0,6966&lt;&gt;0),IF(100*6966/(F65-0)&lt;0.005,"*",100*6966/(F65-0)),0)</f>
        <v>0.21842406690812674</v>
      </c>
    </row>
    <row r="63" spans="1:7" x14ac:dyDescent="0.2">
      <c r="A63" s="11" t="s">
        <v>164</v>
      </c>
      <c r="B63" s="17">
        <v>0</v>
      </c>
      <c r="C63" s="17">
        <v>0</v>
      </c>
      <c r="D63" s="17">
        <v>0</v>
      </c>
      <c r="E63" s="17">
        <v>0</v>
      </c>
      <c r="F63" s="17">
        <v>0</v>
      </c>
      <c r="G63" s="18">
        <f>IF(AND(F65&lt;&gt;0,0&lt;&gt;0),IF(100*0/(F65-0)&lt;0.005,"*",100*0/(F65-0)),0)</f>
        <v>0</v>
      </c>
    </row>
    <row r="64" spans="1:7" x14ac:dyDescent="0.2">
      <c r="A64" s="11" t="s">
        <v>165</v>
      </c>
      <c r="B64" s="17">
        <v>0</v>
      </c>
      <c r="C64" s="17">
        <v>0</v>
      </c>
      <c r="D64" s="17">
        <v>0</v>
      </c>
      <c r="E64" s="17">
        <v>0</v>
      </c>
      <c r="F64" s="17">
        <v>0</v>
      </c>
      <c r="G64" s="18">
        <v>0</v>
      </c>
    </row>
    <row r="65" spans="1:7" ht="15" customHeight="1" x14ac:dyDescent="0.2">
      <c r="A65" s="19" t="s">
        <v>106</v>
      </c>
      <c r="B65" s="20">
        <f>50072+222528+83655+31802+292478+51099+35663+6089+250+219656+75442+13803+36991+127586+59878+43754+39700+36094+72240+20430+26307+35868+67440+39528+31297+57710+40873+33905+35093+14580+19792+30104+106607+116244+81799+96829+41925+48987+84267+11564+61503+28595+68311+255074+52426+19998+59030+81939+32880+58172+32588+15663+9701+8817+3424+3000+1751+0+0+0</f>
        <v>3332801</v>
      </c>
      <c r="C65" s="20">
        <f>0+0+0+0+0+0+0+0+0+0+0+0+0+0+0+0+0+0+0+0+0+0+0+0+0+0+0+0+0+0+0+0+0+0+0+0+0+0+0+0+0+0+0+0+0+0+0+0+0+0+0+0+0+0+0+0+0+0+0+0</f>
        <v>0</v>
      </c>
      <c r="D65" s="20">
        <f>50398+203687+64088+31678+262297+69002+22261+8216+242+162962+74123+25134+29863+148963+61694+33888+37046+42706+67336+21863+29371+39170+66545+46276+36624+60880+39107+36781+43761+10516+23226+32549+107213+81532+61442+74429+37285+50268+70881+26822+63646+25847+65343+248387+46295+21517+69600+73700+19557+50498+30562+11028+6665+6530+10770+15317+6911+0+0+0</f>
        <v>3164298</v>
      </c>
      <c r="E65" s="20">
        <f>SUM(C65:D65)</f>
        <v>3164298</v>
      </c>
      <c r="F65" s="20">
        <f>50795+205291+64592+31927+264362+69545+22436+8281+244+164244+74707+25332+30098+150136+62180+34155+37337+43043+67866+22036+29602+39479+67068+46640+36913+61359+39414+37071+44105+10599+23409+32806+108057+82174+61926+75014+37579+50664+71439+27033+64147+26050+65857+250342+46660+21687+70148+74280+19711+50896+30803+11114+6717+6581+10855+15437+6966+0+0+0</f>
        <v>3189209</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374</v>
      </c>
      <c r="B1" s="10"/>
      <c r="C1" s="10"/>
      <c r="D1" s="10"/>
      <c r="E1" s="10"/>
      <c r="F1" s="10"/>
      <c r="G1" s="12" t="s">
        <v>375</v>
      </c>
    </row>
    <row r="2" spans="1:7" x14ac:dyDescent="0.2">
      <c r="A2" s="13" t="s">
        <v>376</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846690</v>
      </c>
      <c r="C6" s="17">
        <v>536</v>
      </c>
      <c r="D6" s="17">
        <v>711893</v>
      </c>
      <c r="E6" s="17">
        <v>712429</v>
      </c>
      <c r="F6" s="17">
        <v>754571</v>
      </c>
      <c r="G6" s="18">
        <v>1.9190059848533592</v>
      </c>
    </row>
    <row r="7" spans="1:7" x14ac:dyDescent="0.2">
      <c r="A7" s="11" t="s">
        <v>108</v>
      </c>
      <c r="B7" s="17">
        <v>516199</v>
      </c>
      <c r="C7" s="17">
        <v>19123</v>
      </c>
      <c r="D7" s="17">
        <v>471641</v>
      </c>
      <c r="E7" s="17">
        <v>490764</v>
      </c>
      <c r="F7" s="17">
        <v>499916</v>
      </c>
      <c r="G7" s="18">
        <v>1.2713737950755488</v>
      </c>
    </row>
    <row r="8" spans="1:7" x14ac:dyDescent="0.2">
      <c r="A8" s="11" t="s">
        <v>109</v>
      </c>
      <c r="B8" s="17">
        <v>770997</v>
      </c>
      <c r="C8" s="17">
        <v>0</v>
      </c>
      <c r="D8" s="17">
        <v>686475</v>
      </c>
      <c r="E8" s="17">
        <v>686475</v>
      </c>
      <c r="F8" s="17">
        <v>727602</v>
      </c>
      <c r="G8" s="18">
        <v>1.8504191024983387</v>
      </c>
    </row>
    <row r="9" spans="1:7" x14ac:dyDescent="0.2">
      <c r="A9" s="11" t="s">
        <v>110</v>
      </c>
      <c r="B9" s="17">
        <v>592195</v>
      </c>
      <c r="C9" s="17">
        <v>0</v>
      </c>
      <c r="D9" s="17">
        <v>485787</v>
      </c>
      <c r="E9" s="17">
        <v>485787</v>
      </c>
      <c r="F9" s="17">
        <v>514908</v>
      </c>
      <c r="G9" s="18">
        <v>1.3095010723296727</v>
      </c>
    </row>
    <row r="10" spans="1:7" x14ac:dyDescent="0.2">
      <c r="A10" s="11" t="s">
        <v>111</v>
      </c>
      <c r="B10" s="17">
        <v>3591849</v>
      </c>
      <c r="C10" s="17">
        <v>778946</v>
      </c>
      <c r="D10" s="17">
        <v>3458260</v>
      </c>
      <c r="E10" s="17">
        <v>4237206</v>
      </c>
      <c r="F10" s="17">
        <v>3701271</v>
      </c>
      <c r="G10" s="18">
        <v>9.4129792962679169</v>
      </c>
    </row>
    <row r="11" spans="1:7" x14ac:dyDescent="0.2">
      <c r="A11" s="11" t="s">
        <v>112</v>
      </c>
      <c r="B11" s="17">
        <v>725993</v>
      </c>
      <c r="C11" s="17">
        <v>0</v>
      </c>
      <c r="D11" s="17">
        <v>501706</v>
      </c>
      <c r="E11" s="17">
        <v>501706</v>
      </c>
      <c r="F11" s="17">
        <v>531761</v>
      </c>
      <c r="G11" s="18">
        <v>1.3523611979675965</v>
      </c>
    </row>
    <row r="12" spans="1:7" x14ac:dyDescent="0.2">
      <c r="A12" s="11" t="s">
        <v>113</v>
      </c>
      <c r="B12" s="17">
        <v>544188</v>
      </c>
      <c r="C12" s="17">
        <v>0</v>
      </c>
      <c r="D12" s="17">
        <v>466431</v>
      </c>
      <c r="E12" s="17">
        <v>466431</v>
      </c>
      <c r="F12" s="17">
        <v>499463</v>
      </c>
      <c r="G12" s="18">
        <v>1.2702217368714321</v>
      </c>
    </row>
    <row r="13" spans="1:7" x14ac:dyDescent="0.2">
      <c r="A13" s="11" t="s">
        <v>114</v>
      </c>
      <c r="B13" s="17">
        <v>200245</v>
      </c>
      <c r="C13" s="17">
        <v>0</v>
      </c>
      <c r="D13" s="17">
        <v>157556</v>
      </c>
      <c r="E13" s="17">
        <v>157556</v>
      </c>
      <c r="F13" s="17">
        <v>168220</v>
      </c>
      <c r="G13" s="18">
        <v>0.4278128721777435</v>
      </c>
    </row>
    <row r="14" spans="1:7" x14ac:dyDescent="0.2">
      <c r="A14" s="11" t="s">
        <v>115</v>
      </c>
      <c r="B14" s="17">
        <v>303030</v>
      </c>
      <c r="C14" s="17">
        <v>0</v>
      </c>
      <c r="D14" s="17">
        <v>149706</v>
      </c>
      <c r="E14" s="17">
        <v>149706</v>
      </c>
      <c r="F14" s="17">
        <v>158675</v>
      </c>
      <c r="G14" s="18">
        <v>0.40353826829629919</v>
      </c>
    </row>
    <row r="15" spans="1:7" x14ac:dyDescent="0.2">
      <c r="A15" s="11" t="s">
        <v>116</v>
      </c>
      <c r="B15" s="17">
        <v>1949768</v>
      </c>
      <c r="C15" s="17">
        <v>91904</v>
      </c>
      <c r="D15" s="17">
        <v>1783429</v>
      </c>
      <c r="E15" s="17">
        <v>1875333</v>
      </c>
      <c r="F15" s="17">
        <v>1890407</v>
      </c>
      <c r="G15" s="18">
        <v>4.8076355264232049</v>
      </c>
    </row>
    <row r="16" spans="1:7" x14ac:dyDescent="0.2">
      <c r="A16" s="11" t="s">
        <v>117</v>
      </c>
      <c r="B16" s="17">
        <v>1401233</v>
      </c>
      <c r="C16" s="17">
        <v>0</v>
      </c>
      <c r="D16" s="17">
        <v>1211479</v>
      </c>
      <c r="E16" s="17">
        <v>1211479</v>
      </c>
      <c r="F16" s="17">
        <v>1284075</v>
      </c>
      <c r="G16" s="18">
        <v>3.2656272371991202</v>
      </c>
    </row>
    <row r="17" spans="1:7" x14ac:dyDescent="0.2">
      <c r="A17" s="11" t="s">
        <v>118</v>
      </c>
      <c r="B17" s="17">
        <v>150117</v>
      </c>
      <c r="C17" s="17">
        <v>0</v>
      </c>
      <c r="D17" s="17">
        <v>156626</v>
      </c>
      <c r="E17" s="17">
        <v>156626</v>
      </c>
      <c r="F17" s="17">
        <v>168197</v>
      </c>
      <c r="G17" s="18">
        <v>0.42775437915634246</v>
      </c>
    </row>
    <row r="18" spans="1:7" x14ac:dyDescent="0.2">
      <c r="A18" s="11" t="s">
        <v>119</v>
      </c>
      <c r="B18" s="17">
        <v>301459</v>
      </c>
      <c r="C18" s="17">
        <v>13304</v>
      </c>
      <c r="D18" s="17">
        <v>269187</v>
      </c>
      <c r="E18" s="17">
        <v>282491</v>
      </c>
      <c r="F18" s="17">
        <v>285328</v>
      </c>
      <c r="G18" s="18">
        <v>0.72563899175324698</v>
      </c>
    </row>
    <row r="19" spans="1:7" x14ac:dyDescent="0.2">
      <c r="A19" s="11" t="s">
        <v>120</v>
      </c>
      <c r="B19" s="17">
        <v>1573537</v>
      </c>
      <c r="C19" s="17">
        <v>1313</v>
      </c>
      <c r="D19" s="17">
        <v>1334008</v>
      </c>
      <c r="E19" s="17">
        <v>1335321</v>
      </c>
      <c r="F19" s="17">
        <v>1413922</v>
      </c>
      <c r="G19" s="18">
        <v>3.5958508611062863</v>
      </c>
    </row>
    <row r="20" spans="1:7" x14ac:dyDescent="0.2">
      <c r="A20" s="11" t="s">
        <v>121</v>
      </c>
      <c r="B20" s="17">
        <v>1000596</v>
      </c>
      <c r="C20" s="17">
        <v>0</v>
      </c>
      <c r="D20" s="17">
        <v>874929</v>
      </c>
      <c r="E20" s="17">
        <v>874929</v>
      </c>
      <c r="F20" s="17">
        <v>947595</v>
      </c>
      <c r="G20" s="18">
        <v>2.4098997658498922</v>
      </c>
    </row>
    <row r="21" spans="1:7" x14ac:dyDescent="0.2">
      <c r="A21" s="11" t="s">
        <v>122</v>
      </c>
      <c r="B21" s="17">
        <v>517033</v>
      </c>
      <c r="C21" s="17">
        <v>0</v>
      </c>
      <c r="D21" s="17">
        <v>461126</v>
      </c>
      <c r="E21" s="17">
        <v>461126</v>
      </c>
      <c r="F21" s="17">
        <v>488768</v>
      </c>
      <c r="G21" s="18">
        <v>1.2430224819199343</v>
      </c>
    </row>
    <row r="22" spans="1:7" x14ac:dyDescent="0.2">
      <c r="A22" s="11" t="s">
        <v>123</v>
      </c>
      <c r="B22" s="17">
        <v>401820</v>
      </c>
      <c r="C22" s="17">
        <v>970</v>
      </c>
      <c r="D22" s="17">
        <v>354632</v>
      </c>
      <c r="E22" s="17">
        <v>355602</v>
      </c>
      <c r="F22" s="17">
        <v>375890</v>
      </c>
      <c r="G22" s="18">
        <v>0.95595399193254071</v>
      </c>
    </row>
    <row r="23" spans="1:7" x14ac:dyDescent="0.2">
      <c r="A23" s="11" t="s">
        <v>124</v>
      </c>
      <c r="B23" s="17">
        <v>696099</v>
      </c>
      <c r="C23" s="17">
        <v>2188</v>
      </c>
      <c r="D23" s="17">
        <v>623557</v>
      </c>
      <c r="E23" s="17">
        <v>625745</v>
      </c>
      <c r="F23" s="17">
        <v>660938</v>
      </c>
      <c r="G23" s="18">
        <v>1.6808808947296008</v>
      </c>
    </row>
    <row r="24" spans="1:7" x14ac:dyDescent="0.2">
      <c r="A24" s="11" t="s">
        <v>125</v>
      </c>
      <c r="B24" s="17">
        <v>823986</v>
      </c>
      <c r="C24" s="17">
        <v>14004</v>
      </c>
      <c r="D24" s="17">
        <v>657367</v>
      </c>
      <c r="E24" s="17">
        <v>671371</v>
      </c>
      <c r="F24" s="17">
        <v>698942</v>
      </c>
      <c r="G24" s="18">
        <v>1.7775317114829177</v>
      </c>
    </row>
    <row r="25" spans="1:7" x14ac:dyDescent="0.2">
      <c r="A25" s="11" t="s">
        <v>126</v>
      </c>
      <c r="B25" s="17">
        <v>196056</v>
      </c>
      <c r="C25" s="17">
        <v>0</v>
      </c>
      <c r="D25" s="17">
        <v>161495</v>
      </c>
      <c r="E25" s="17">
        <v>161495</v>
      </c>
      <c r="F25" s="17">
        <v>183573</v>
      </c>
      <c r="G25" s="18">
        <v>0.46685823555037992</v>
      </c>
    </row>
    <row r="26" spans="1:7" x14ac:dyDescent="0.2">
      <c r="A26" s="11" t="s">
        <v>127</v>
      </c>
      <c r="B26" s="17">
        <v>572833</v>
      </c>
      <c r="C26" s="17">
        <v>0</v>
      </c>
      <c r="D26" s="17">
        <v>563812</v>
      </c>
      <c r="E26" s="17">
        <v>563812</v>
      </c>
      <c r="F26" s="17">
        <v>597583</v>
      </c>
      <c r="G26" s="18">
        <v>1.5197580525180865</v>
      </c>
    </row>
    <row r="27" spans="1:7" x14ac:dyDescent="0.2">
      <c r="A27" s="11" t="s">
        <v>128</v>
      </c>
      <c r="B27" s="17">
        <v>627682</v>
      </c>
      <c r="C27" s="17">
        <v>0</v>
      </c>
      <c r="D27" s="17">
        <v>569816</v>
      </c>
      <c r="E27" s="17">
        <v>569816</v>
      </c>
      <c r="F27" s="17">
        <v>603940</v>
      </c>
      <c r="G27" s="18">
        <v>1.5359250149983736</v>
      </c>
    </row>
    <row r="28" spans="1:7" x14ac:dyDescent="0.2">
      <c r="A28" s="11" t="s">
        <v>129</v>
      </c>
      <c r="B28" s="17">
        <v>1103616</v>
      </c>
      <c r="C28" s="17">
        <v>0</v>
      </c>
      <c r="D28" s="17">
        <v>987848</v>
      </c>
      <c r="E28" s="17">
        <v>987848</v>
      </c>
      <c r="F28" s="17">
        <v>1047030</v>
      </c>
      <c r="G28" s="18">
        <v>2.6627803564157815</v>
      </c>
    </row>
    <row r="29" spans="1:7" x14ac:dyDescent="0.2">
      <c r="A29" s="11" t="s">
        <v>130</v>
      </c>
      <c r="B29" s="17">
        <v>669472</v>
      </c>
      <c r="C29" s="17">
        <v>347</v>
      </c>
      <c r="D29" s="17">
        <v>605319</v>
      </c>
      <c r="E29" s="17">
        <v>605666</v>
      </c>
      <c r="F29" s="17">
        <v>648506</v>
      </c>
      <c r="G29" s="18">
        <v>1.6492641450749004</v>
      </c>
    </row>
    <row r="30" spans="1:7" x14ac:dyDescent="0.2">
      <c r="A30" s="11" t="s">
        <v>131</v>
      </c>
      <c r="B30" s="17">
        <v>543542</v>
      </c>
      <c r="C30" s="17">
        <v>0</v>
      </c>
      <c r="D30" s="17">
        <v>448804</v>
      </c>
      <c r="E30" s="17">
        <v>448804</v>
      </c>
      <c r="F30" s="17">
        <v>480997</v>
      </c>
      <c r="G30" s="18">
        <v>1.223259470210903</v>
      </c>
    </row>
    <row r="31" spans="1:7" x14ac:dyDescent="0.2">
      <c r="A31" s="11" t="s">
        <v>132</v>
      </c>
      <c r="B31" s="17">
        <v>1025986</v>
      </c>
      <c r="C31" s="17">
        <v>5027</v>
      </c>
      <c r="D31" s="17">
        <v>883698</v>
      </c>
      <c r="E31" s="17">
        <v>888725</v>
      </c>
      <c r="F31" s="17">
        <v>941830</v>
      </c>
      <c r="G31" s="18">
        <v>2.3952383628769716</v>
      </c>
    </row>
    <row r="32" spans="1:7" x14ac:dyDescent="0.2">
      <c r="A32" s="11" t="s">
        <v>133</v>
      </c>
      <c r="B32" s="17">
        <v>432911</v>
      </c>
      <c r="C32" s="17">
        <v>0</v>
      </c>
      <c r="D32" s="17">
        <v>384133</v>
      </c>
      <c r="E32" s="17">
        <v>384133</v>
      </c>
      <c r="F32" s="17">
        <v>408040</v>
      </c>
      <c r="G32" s="18">
        <v>1.0377170631518633</v>
      </c>
    </row>
    <row r="33" spans="1:7" x14ac:dyDescent="0.2">
      <c r="A33" s="11" t="s">
        <v>134</v>
      </c>
      <c r="B33" s="17">
        <v>315014</v>
      </c>
      <c r="C33" s="17">
        <v>0</v>
      </c>
      <c r="D33" s="17">
        <v>271199</v>
      </c>
      <c r="E33" s="17">
        <v>271199</v>
      </c>
      <c r="F33" s="17">
        <v>287453</v>
      </c>
      <c r="G33" s="18">
        <v>0.73104323829573714</v>
      </c>
    </row>
    <row r="34" spans="1:7" x14ac:dyDescent="0.2">
      <c r="A34" s="11" t="s">
        <v>135</v>
      </c>
      <c r="B34" s="17">
        <v>363253</v>
      </c>
      <c r="C34" s="17">
        <v>10772</v>
      </c>
      <c r="D34" s="17">
        <v>341354</v>
      </c>
      <c r="E34" s="17">
        <v>352126</v>
      </c>
      <c r="F34" s="17">
        <v>361808</v>
      </c>
      <c r="G34" s="18">
        <v>0.92014100378602437</v>
      </c>
    </row>
    <row r="35" spans="1:7" x14ac:dyDescent="0.2">
      <c r="A35" s="11" t="s">
        <v>136</v>
      </c>
      <c r="B35" s="17">
        <v>178114</v>
      </c>
      <c r="C35" s="17">
        <v>1751</v>
      </c>
      <c r="D35" s="17">
        <v>155129</v>
      </c>
      <c r="E35" s="17">
        <v>156880</v>
      </c>
      <c r="F35" s="17">
        <v>164425</v>
      </c>
      <c r="G35" s="18">
        <v>0.41816152364656684</v>
      </c>
    </row>
    <row r="36" spans="1:7" x14ac:dyDescent="0.2">
      <c r="A36" s="11" t="s">
        <v>137</v>
      </c>
      <c r="B36" s="17">
        <v>817948</v>
      </c>
      <c r="C36" s="17">
        <v>2713</v>
      </c>
      <c r="D36" s="17">
        <v>936932</v>
      </c>
      <c r="E36" s="17">
        <v>939645</v>
      </c>
      <c r="F36" s="17">
        <v>993043</v>
      </c>
      <c r="G36" s="18">
        <v>2.5254819761384075</v>
      </c>
    </row>
    <row r="37" spans="1:7" x14ac:dyDescent="0.2">
      <c r="A37" s="11" t="s">
        <v>138</v>
      </c>
      <c r="B37" s="17">
        <v>388655</v>
      </c>
      <c r="C37" s="17">
        <v>0</v>
      </c>
      <c r="D37" s="17">
        <v>338927</v>
      </c>
      <c r="E37" s="17">
        <v>338927</v>
      </c>
      <c r="F37" s="17">
        <v>365212</v>
      </c>
      <c r="G37" s="18">
        <v>0.92879797095338279</v>
      </c>
    </row>
    <row r="38" spans="1:7" x14ac:dyDescent="0.2">
      <c r="A38" s="11" t="s">
        <v>139</v>
      </c>
      <c r="B38" s="17">
        <v>1579237</v>
      </c>
      <c r="C38" s="17">
        <v>16165</v>
      </c>
      <c r="D38" s="17">
        <v>1575826</v>
      </c>
      <c r="E38" s="17">
        <v>1591991</v>
      </c>
      <c r="F38" s="17">
        <v>1670201</v>
      </c>
      <c r="G38" s="18">
        <v>4.2476131668299812</v>
      </c>
    </row>
    <row r="39" spans="1:7" x14ac:dyDescent="0.2">
      <c r="A39" s="11" t="s">
        <v>140</v>
      </c>
      <c r="B39" s="17">
        <v>1146693</v>
      </c>
      <c r="C39" s="17">
        <v>22319</v>
      </c>
      <c r="D39" s="17">
        <v>979939</v>
      </c>
      <c r="E39" s="17">
        <v>1002258</v>
      </c>
      <c r="F39" s="17">
        <v>1038678</v>
      </c>
      <c r="G39" s="18">
        <v>2.6415397601226625</v>
      </c>
    </row>
    <row r="40" spans="1:7" x14ac:dyDescent="0.2">
      <c r="A40" s="11" t="s">
        <v>141</v>
      </c>
      <c r="B40" s="17">
        <v>254868</v>
      </c>
      <c r="C40" s="17">
        <v>919</v>
      </c>
      <c r="D40" s="17">
        <v>232997</v>
      </c>
      <c r="E40" s="17">
        <v>233916</v>
      </c>
      <c r="F40" s="17">
        <v>246961</v>
      </c>
      <c r="G40" s="18">
        <v>0.62806500253173059</v>
      </c>
    </row>
    <row r="41" spans="1:7" x14ac:dyDescent="0.2">
      <c r="A41" s="11" t="s">
        <v>142</v>
      </c>
      <c r="B41" s="17">
        <v>1431577</v>
      </c>
      <c r="C41" s="17">
        <v>17418</v>
      </c>
      <c r="D41" s="17">
        <v>1257406</v>
      </c>
      <c r="E41" s="17">
        <v>1274824</v>
      </c>
      <c r="F41" s="17">
        <v>1334134</v>
      </c>
      <c r="G41" s="18">
        <v>3.3929360266911286</v>
      </c>
    </row>
    <row r="42" spans="1:7" x14ac:dyDescent="0.2">
      <c r="A42" s="11" t="s">
        <v>143</v>
      </c>
      <c r="B42" s="17">
        <v>671093</v>
      </c>
      <c r="C42" s="17">
        <v>3501</v>
      </c>
      <c r="D42" s="17">
        <v>594630</v>
      </c>
      <c r="E42" s="17">
        <v>598131</v>
      </c>
      <c r="F42" s="17">
        <v>630975</v>
      </c>
      <c r="G42" s="18">
        <v>1.6046797468930669</v>
      </c>
    </row>
    <row r="43" spans="1:7" x14ac:dyDescent="0.2">
      <c r="A43" s="11" t="s">
        <v>144</v>
      </c>
      <c r="B43" s="17">
        <v>477987</v>
      </c>
      <c r="C43" s="17">
        <v>10941</v>
      </c>
      <c r="D43" s="17">
        <v>468841</v>
      </c>
      <c r="E43" s="17">
        <v>479782</v>
      </c>
      <c r="F43" s="17">
        <v>497804</v>
      </c>
      <c r="G43" s="18">
        <v>1.2660026098060244</v>
      </c>
    </row>
    <row r="44" spans="1:7" x14ac:dyDescent="0.2">
      <c r="A44" s="11" t="s">
        <v>145</v>
      </c>
      <c r="B44" s="17">
        <v>1765134</v>
      </c>
      <c r="C44" s="17">
        <v>0</v>
      </c>
      <c r="D44" s="17">
        <v>1539419</v>
      </c>
      <c r="E44" s="17">
        <v>1539419</v>
      </c>
      <c r="F44" s="17">
        <v>1631654</v>
      </c>
      <c r="G44" s="18">
        <v>4.1495814061366296</v>
      </c>
    </row>
    <row r="45" spans="1:7" x14ac:dyDescent="0.2">
      <c r="A45" s="11" t="s">
        <v>146</v>
      </c>
      <c r="B45" s="17">
        <v>212113</v>
      </c>
      <c r="C45" s="17">
        <v>0</v>
      </c>
      <c r="D45" s="17">
        <v>201913</v>
      </c>
      <c r="E45" s="17">
        <v>201913</v>
      </c>
      <c r="F45" s="17">
        <v>217491</v>
      </c>
      <c r="G45" s="18">
        <v>0.5531176398930544</v>
      </c>
    </row>
    <row r="46" spans="1:7" x14ac:dyDescent="0.2">
      <c r="A46" s="11" t="s">
        <v>147</v>
      </c>
      <c r="B46" s="17">
        <v>791372</v>
      </c>
      <c r="C46" s="17">
        <v>13557</v>
      </c>
      <c r="D46" s="17">
        <v>629136</v>
      </c>
      <c r="E46" s="17">
        <v>642693</v>
      </c>
      <c r="F46" s="17">
        <v>666859</v>
      </c>
      <c r="G46" s="18">
        <v>1.6959390329781112</v>
      </c>
    </row>
    <row r="47" spans="1:7" x14ac:dyDescent="0.2">
      <c r="A47" s="11" t="s">
        <v>148</v>
      </c>
      <c r="B47" s="17">
        <v>301059</v>
      </c>
      <c r="C47" s="17">
        <v>0</v>
      </c>
      <c r="D47" s="17">
        <v>263180</v>
      </c>
      <c r="E47" s="17">
        <v>263180</v>
      </c>
      <c r="F47" s="17">
        <v>280458</v>
      </c>
      <c r="G47" s="18">
        <v>0.71325373026528116</v>
      </c>
    </row>
    <row r="48" spans="1:7" x14ac:dyDescent="0.2">
      <c r="A48" s="11" t="s">
        <v>149</v>
      </c>
      <c r="B48" s="17">
        <v>821933</v>
      </c>
      <c r="C48" s="17">
        <v>0</v>
      </c>
      <c r="D48" s="17">
        <v>780823</v>
      </c>
      <c r="E48" s="17">
        <v>780823</v>
      </c>
      <c r="F48" s="17">
        <v>840378</v>
      </c>
      <c r="G48" s="18">
        <v>2.1372281886516928</v>
      </c>
    </row>
    <row r="49" spans="1:7" x14ac:dyDescent="0.2">
      <c r="A49" s="11" t="s">
        <v>150</v>
      </c>
      <c r="B49" s="17">
        <v>3847706</v>
      </c>
      <c r="C49" s="17">
        <v>125883</v>
      </c>
      <c r="D49" s="17">
        <v>3423446</v>
      </c>
      <c r="E49" s="17">
        <v>3549329</v>
      </c>
      <c r="F49" s="17">
        <v>3540835</v>
      </c>
      <c r="G49" s="18">
        <v>9.0049624970721691</v>
      </c>
    </row>
    <row r="50" spans="1:7" x14ac:dyDescent="0.2">
      <c r="A50" s="11" t="s">
        <v>151</v>
      </c>
      <c r="B50" s="17">
        <v>366879</v>
      </c>
      <c r="C50" s="17">
        <v>0</v>
      </c>
      <c r="D50" s="17">
        <v>325804</v>
      </c>
      <c r="E50" s="17">
        <v>325804</v>
      </c>
      <c r="F50" s="17">
        <v>345330</v>
      </c>
      <c r="G50" s="18">
        <v>0.87823456871442263</v>
      </c>
    </row>
    <row r="51" spans="1:7" x14ac:dyDescent="0.2">
      <c r="A51" s="11" t="s">
        <v>152</v>
      </c>
      <c r="B51" s="17">
        <v>213899</v>
      </c>
      <c r="C51" s="17">
        <v>5252</v>
      </c>
      <c r="D51" s="17">
        <v>190302</v>
      </c>
      <c r="E51" s="17">
        <v>195554</v>
      </c>
      <c r="F51" s="17">
        <v>202180</v>
      </c>
      <c r="G51" s="18">
        <v>0.51417908986384608</v>
      </c>
    </row>
    <row r="52" spans="1:7" x14ac:dyDescent="0.2">
      <c r="A52" s="11" t="s">
        <v>153</v>
      </c>
      <c r="B52" s="17">
        <v>998523</v>
      </c>
      <c r="C52" s="17">
        <v>0</v>
      </c>
      <c r="D52" s="17">
        <v>945671</v>
      </c>
      <c r="E52" s="17">
        <v>945671</v>
      </c>
      <c r="F52" s="17">
        <v>1011996</v>
      </c>
      <c r="G52" s="18">
        <v>2.5736827689477333</v>
      </c>
    </row>
    <row r="53" spans="1:7" x14ac:dyDescent="0.2">
      <c r="A53" s="11" t="s">
        <v>154</v>
      </c>
      <c r="B53" s="17">
        <v>776167</v>
      </c>
      <c r="C53" s="17">
        <v>2539</v>
      </c>
      <c r="D53" s="17">
        <v>634962</v>
      </c>
      <c r="E53" s="17">
        <v>637501</v>
      </c>
      <c r="F53" s="17">
        <v>674333</v>
      </c>
      <c r="G53" s="18">
        <v>1.7149467217586156</v>
      </c>
    </row>
    <row r="54" spans="1:7" x14ac:dyDescent="0.2">
      <c r="A54" s="11" t="s">
        <v>155</v>
      </c>
      <c r="B54" s="17">
        <v>474870</v>
      </c>
      <c r="C54" s="17">
        <v>7002</v>
      </c>
      <c r="D54" s="17">
        <v>410473</v>
      </c>
      <c r="E54" s="17">
        <v>417475</v>
      </c>
      <c r="F54" s="17">
        <v>435081</v>
      </c>
      <c r="G54" s="18">
        <v>1.1064870540956178</v>
      </c>
    </row>
    <row r="55" spans="1:7" x14ac:dyDescent="0.2">
      <c r="A55" s="11" t="s">
        <v>156</v>
      </c>
      <c r="B55" s="17">
        <v>824710</v>
      </c>
      <c r="C55" s="17">
        <v>2552</v>
      </c>
      <c r="D55" s="17">
        <v>706138</v>
      </c>
      <c r="E55" s="17">
        <v>708690</v>
      </c>
      <c r="F55" s="17">
        <v>748461</v>
      </c>
      <c r="G55" s="18">
        <v>1.9034671865594226</v>
      </c>
    </row>
    <row r="56" spans="1:7" x14ac:dyDescent="0.2">
      <c r="A56" s="11" t="s">
        <v>157</v>
      </c>
      <c r="B56" s="17">
        <v>270795</v>
      </c>
      <c r="C56" s="17">
        <v>0</v>
      </c>
      <c r="D56" s="17">
        <v>239384</v>
      </c>
      <c r="E56" s="17">
        <v>239384</v>
      </c>
      <c r="F56" s="17">
        <v>254774</v>
      </c>
      <c r="G56" s="18">
        <v>0.64793482758418985</v>
      </c>
    </row>
    <row r="57" spans="1:7" x14ac:dyDescent="0.2">
      <c r="A57" s="11" t="s">
        <v>158</v>
      </c>
      <c r="B57" s="17">
        <v>2729</v>
      </c>
      <c r="C57" s="17">
        <v>0</v>
      </c>
      <c r="D57" s="17">
        <v>2238</v>
      </c>
      <c r="E57" s="17">
        <v>2238</v>
      </c>
      <c r="F57" s="17">
        <v>2316</v>
      </c>
      <c r="G57" s="18">
        <v>5.8899929376034594E-3</v>
      </c>
    </row>
    <row r="58" spans="1:7" x14ac:dyDescent="0.2">
      <c r="A58" s="11" t="s">
        <v>159</v>
      </c>
      <c r="B58" s="17">
        <v>15124</v>
      </c>
      <c r="C58" s="17">
        <v>0</v>
      </c>
      <c r="D58" s="17">
        <v>12406</v>
      </c>
      <c r="E58" s="17">
        <v>12406</v>
      </c>
      <c r="F58" s="17">
        <v>12838</v>
      </c>
      <c r="G58" s="18">
        <v>3.2649278641171509E-2</v>
      </c>
    </row>
    <row r="59" spans="1:7" x14ac:dyDescent="0.2">
      <c r="A59" s="11" t="s">
        <v>160</v>
      </c>
      <c r="B59" s="17">
        <v>15349</v>
      </c>
      <c r="C59" s="17">
        <v>0</v>
      </c>
      <c r="D59" s="17">
        <v>12591</v>
      </c>
      <c r="E59" s="17">
        <v>12591</v>
      </c>
      <c r="F59" s="17">
        <v>13030</v>
      </c>
      <c r="G59" s="18">
        <v>3.3137568211128274E-2</v>
      </c>
    </row>
    <row r="60" spans="1:7" x14ac:dyDescent="0.2">
      <c r="A60" s="11" t="s">
        <v>161</v>
      </c>
      <c r="B60" s="17">
        <v>44243</v>
      </c>
      <c r="C60" s="17">
        <v>195080</v>
      </c>
      <c r="D60" s="17">
        <v>142467</v>
      </c>
      <c r="E60" s="17">
        <v>337547</v>
      </c>
      <c r="F60" s="17">
        <v>158454</v>
      </c>
      <c r="G60" s="18">
        <v>0.40297622665588023</v>
      </c>
    </row>
    <row r="61" spans="1:7" x14ac:dyDescent="0.2">
      <c r="A61" s="11" t="s">
        <v>162</v>
      </c>
      <c r="B61" s="17">
        <v>0</v>
      </c>
      <c r="C61" s="17">
        <v>0</v>
      </c>
      <c r="D61" s="17">
        <v>0</v>
      </c>
      <c r="E61" s="17">
        <v>0</v>
      </c>
      <c r="F61" s="17">
        <v>0</v>
      </c>
      <c r="G61" s="18">
        <v>0</v>
      </c>
    </row>
    <row r="62" spans="1:7" x14ac:dyDescent="0.2">
      <c r="A62" s="11" t="s">
        <v>163</v>
      </c>
      <c r="B62" s="17">
        <v>12367</v>
      </c>
      <c r="C62" s="17">
        <v>19937</v>
      </c>
      <c r="D62" s="17">
        <v>11379</v>
      </c>
      <c r="E62" s="17">
        <v>31316</v>
      </c>
      <c r="F62" s="17">
        <v>11820</v>
      </c>
      <c r="G62" s="18">
        <v>3.0060326650463251E-2</v>
      </c>
    </row>
    <row r="63" spans="1:7" x14ac:dyDescent="0.2">
      <c r="A63" s="11" t="s">
        <v>164</v>
      </c>
      <c r="B63" s="17">
        <v>0</v>
      </c>
      <c r="C63" s="17">
        <v>0</v>
      </c>
      <c r="D63" s="17">
        <v>0</v>
      </c>
      <c r="E63" s="17">
        <v>0</v>
      </c>
      <c r="F63" s="17">
        <v>0</v>
      </c>
      <c r="G63" s="18">
        <v>0</v>
      </c>
    </row>
    <row r="64" spans="1:7" ht="15" x14ac:dyDescent="0.2">
      <c r="A64" s="11" t="s">
        <v>165</v>
      </c>
      <c r="B64" s="17">
        <v>0</v>
      </c>
      <c r="C64" s="23" t="s">
        <v>377</v>
      </c>
      <c r="D64" s="23" t="s">
        <v>378</v>
      </c>
      <c r="E64" s="17">
        <v>6738994</v>
      </c>
      <c r="F64" s="23" t="s">
        <v>379</v>
      </c>
      <c r="G64" s="18">
        <v>0</v>
      </c>
    </row>
    <row r="65" spans="1:7" ht="15" customHeight="1" x14ac:dyDescent="0.2">
      <c r="A65" s="19" t="s">
        <v>106</v>
      </c>
      <c r="B65" s="20">
        <f>846690+516199+770997+592195+3591849+725993+544188+200245+303030+1949768+1401233+150117+301459+1573537+1000596+517033+401820+696099+823986+196056+572833+627682+1103616+669472+543542+1025986+432911+315014+363253+178114+817948+388655+1579237+1146693+254868+1431577+671093+477987+1765134+212113+791372+301059+821933+3847706+366879+213899+998523+776167+474870+824710+270795+2729+15124+15349+44243+0+12367+0+0+0</f>
        <v>41458543</v>
      </c>
      <c r="C65" s="20">
        <f>536+19123+0+0+778946+0+0+0+0+91904+0+0+13304+1313+0+0+970+2188+14004+0+0+0+0+347+0+5027+0+0+10772+1751+2713+0+16165+22319+919+17418+3501+10941+0+0+13557+0+0+125883+0+5252+0+2539+7002+2552+0+0+0+0+195080+0+19937+0+122120+0</f>
        <v>1508083</v>
      </c>
      <c r="D65" s="20">
        <f>711893+471641+686475+485787+3458260+501706+466431+157556+149706+1783429+1211479+156626+269187+1334008+874929+461126+354632+623557+657367+161495+563812+569816+987848+605319+448804+883698+384133+271199+341354+155129+936932+338927+1575826+979939+232997+1257406+594630+468841+1539419+201913+629136+263180+780823+3423446+325804+190302+945671+634962+410473+706138+239384+2238+12406+12591+142467+0+11379+0+6616874+0</f>
        <v>43662506</v>
      </c>
      <c r="E65" s="20" t="s">
        <v>455</v>
      </c>
      <c r="F65" s="20" t="s">
        <v>454</v>
      </c>
      <c r="G65" s="21" t="s">
        <v>197</v>
      </c>
    </row>
    <row r="66" spans="1:7" ht="15" customHeight="1" x14ac:dyDescent="0.2">
      <c r="A66" s="73" t="s">
        <v>452</v>
      </c>
      <c r="B66" s="73"/>
      <c r="C66" s="73"/>
      <c r="D66" s="73"/>
      <c r="E66" s="73"/>
      <c r="F66" s="73"/>
      <c r="G66" s="73"/>
    </row>
    <row r="67" spans="1:7" ht="15" customHeight="1" x14ac:dyDescent="0.2">
      <c r="A67" s="65" t="s">
        <v>380</v>
      </c>
      <c r="B67" s="65"/>
      <c r="C67" s="65"/>
      <c r="D67" s="65"/>
      <c r="E67" s="65"/>
      <c r="F67" s="65"/>
      <c r="G67" s="65"/>
    </row>
    <row r="68" spans="1:7" ht="33" customHeight="1" x14ac:dyDescent="0.2">
      <c r="A68" s="73" t="s">
        <v>453</v>
      </c>
      <c r="B68" s="73"/>
      <c r="C68" s="73"/>
      <c r="D68" s="73"/>
      <c r="E68" s="73"/>
      <c r="F68" s="73"/>
      <c r="G68" s="73"/>
    </row>
    <row r="69" spans="1:7" ht="33.75" customHeight="1" x14ac:dyDescent="0.2">
      <c r="A69" s="73" t="s">
        <v>456</v>
      </c>
      <c r="B69" s="73"/>
      <c r="C69" s="73"/>
      <c r="D69" s="73"/>
      <c r="E69" s="73"/>
      <c r="F69" s="73"/>
      <c r="G69" s="73"/>
    </row>
    <row r="70" spans="1:7" ht="15" customHeight="1" x14ac:dyDescent="0.2">
      <c r="A70" s="65" t="s">
        <v>198</v>
      </c>
      <c r="B70" s="65"/>
      <c r="C70" s="65"/>
      <c r="D70" s="65"/>
      <c r="E70" s="65"/>
      <c r="F70" s="65"/>
      <c r="G70" s="65"/>
    </row>
  </sheetData>
  <mergeCells count="9">
    <mergeCell ref="A68:G68"/>
    <mergeCell ref="A69:G69"/>
    <mergeCell ref="A67:G67"/>
    <mergeCell ref="A70:G70"/>
    <mergeCell ref="A4:A5"/>
    <mergeCell ref="B4:B5"/>
    <mergeCell ref="F4:F5"/>
    <mergeCell ref="G4:G5"/>
    <mergeCell ref="A66:G66"/>
  </mergeCells>
  <pageMargins left="0.7" right="0.7" top="0.75" bottom="0.75" header="0.3" footer="0.3"/>
  <pageSetup scale="7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381</v>
      </c>
      <c r="B1" s="10"/>
      <c r="C1" s="10"/>
      <c r="D1" s="10"/>
      <c r="E1" s="10"/>
      <c r="F1" s="10"/>
      <c r="G1" s="12" t="s">
        <v>382</v>
      </c>
    </row>
    <row r="2" spans="1:7" x14ac:dyDescent="0.2">
      <c r="A2" s="13" t="s">
        <v>383</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14975</v>
      </c>
      <c r="C6" s="17">
        <v>454</v>
      </c>
      <c r="D6" s="17">
        <v>14682</v>
      </c>
      <c r="E6" s="17">
        <v>15136</v>
      </c>
      <c r="F6" s="17">
        <v>10803</v>
      </c>
      <c r="G6" s="18">
        <f>IF(AND(F67&lt;&gt;0,10803&lt;&gt;0),IF(100*10803/(F67-0)&lt;0.005,"*",100*10803/(F67-0)),0)</f>
        <v>1.0835506519558675</v>
      </c>
    </row>
    <row r="7" spans="1:7" x14ac:dyDescent="0.2">
      <c r="A7" s="11" t="s">
        <v>108</v>
      </c>
      <c r="B7" s="17">
        <v>8015</v>
      </c>
      <c r="C7" s="17">
        <v>243</v>
      </c>
      <c r="D7" s="17">
        <v>7858</v>
      </c>
      <c r="E7" s="17">
        <v>8101</v>
      </c>
      <c r="F7" s="17">
        <v>5782</v>
      </c>
      <c r="G7" s="18">
        <f>IF(AND(F67&lt;&gt;0,5782&lt;&gt;0),IF(100*5782/(F67-0)&lt;0.005,"*",100*5782/(F67-0)),0)</f>
        <v>0.57993981945837514</v>
      </c>
    </row>
    <row r="8" spans="1:7" x14ac:dyDescent="0.2">
      <c r="A8" s="11" t="s">
        <v>109</v>
      </c>
      <c r="B8" s="17">
        <v>15905</v>
      </c>
      <c r="C8" s="17">
        <v>274</v>
      </c>
      <c r="D8" s="17">
        <v>8868</v>
      </c>
      <c r="E8" s="17">
        <v>9142</v>
      </c>
      <c r="F8" s="17">
        <v>6526</v>
      </c>
      <c r="G8" s="18">
        <f>IF(AND(F67&lt;&gt;0,6526&lt;&gt;0),IF(100*6526/(F67-0)&lt;0.005,"*",100*6526/(F67-0)),0)</f>
        <v>0.65456369107321966</v>
      </c>
    </row>
    <row r="9" spans="1:7" x14ac:dyDescent="0.2">
      <c r="A9" s="11" t="s">
        <v>110</v>
      </c>
      <c r="B9" s="17">
        <v>8761</v>
      </c>
      <c r="C9" s="17">
        <v>266</v>
      </c>
      <c r="D9" s="17">
        <v>8589</v>
      </c>
      <c r="E9" s="17">
        <v>8855</v>
      </c>
      <c r="F9" s="17">
        <v>6320</v>
      </c>
      <c r="G9" s="18">
        <f>IF(AND(F67&lt;&gt;0,6320&lt;&gt;0),IF(100*6320/(F67-0)&lt;0.005,"*",100*6320/(F67-0)),0)</f>
        <v>0.63390170511534605</v>
      </c>
    </row>
    <row r="10" spans="1:7" x14ac:dyDescent="0.2">
      <c r="A10" s="11" t="s">
        <v>111</v>
      </c>
      <c r="B10" s="17">
        <v>95848</v>
      </c>
      <c r="C10" s="17">
        <v>2904</v>
      </c>
      <c r="D10" s="17">
        <v>93904</v>
      </c>
      <c r="E10" s="17">
        <v>96808</v>
      </c>
      <c r="F10" s="17">
        <v>69099</v>
      </c>
      <c r="G10" s="18">
        <f>IF(AND(F67&lt;&gt;0,69099&lt;&gt;0),IF(100*69099/(F67-0)&lt;0.005,"*",100*69099/(F67-0)),0)</f>
        <v>6.9306920762286861</v>
      </c>
    </row>
    <row r="11" spans="1:7" x14ac:dyDescent="0.2">
      <c r="A11" s="11" t="s">
        <v>112</v>
      </c>
      <c r="B11" s="17">
        <v>10712</v>
      </c>
      <c r="C11" s="17">
        <v>325</v>
      </c>
      <c r="D11" s="17">
        <v>10502</v>
      </c>
      <c r="E11" s="17">
        <v>10827</v>
      </c>
      <c r="F11" s="17">
        <v>7728</v>
      </c>
      <c r="G11" s="18">
        <f>IF(AND(F67&lt;&gt;0,7728&lt;&gt;0),IF(100*7728/(F67-0)&lt;0.005,"*",100*7728/(F67-0)),0)</f>
        <v>0.77512537612838517</v>
      </c>
    </row>
    <row r="12" spans="1:7" x14ac:dyDescent="0.2">
      <c r="A12" s="11" t="s">
        <v>113</v>
      </c>
      <c r="B12" s="17">
        <v>16406</v>
      </c>
      <c r="C12" s="17">
        <v>497</v>
      </c>
      <c r="D12" s="17">
        <v>16085</v>
      </c>
      <c r="E12" s="17">
        <v>16582</v>
      </c>
      <c r="F12" s="17">
        <v>11836</v>
      </c>
      <c r="G12" s="18">
        <f>IF(AND(F67&lt;&gt;0,11836&lt;&gt;0),IF(100*11836/(F67-0)&lt;0.005,"*",100*11836/(F67-0)),0)</f>
        <v>1.18716148445336</v>
      </c>
    </row>
    <row r="13" spans="1:7" x14ac:dyDescent="0.2">
      <c r="A13" s="11" t="s">
        <v>114</v>
      </c>
      <c r="B13" s="17">
        <v>7256</v>
      </c>
      <c r="C13" s="17">
        <v>199</v>
      </c>
      <c r="D13" s="17">
        <v>6446</v>
      </c>
      <c r="E13" s="17">
        <v>6645</v>
      </c>
      <c r="F13" s="17">
        <v>4743</v>
      </c>
      <c r="G13" s="18">
        <f>IF(AND(F67&lt;&gt;0,4743&lt;&gt;0),IF(100*4743/(F67-0)&lt;0.005,"*",100*4743/(F67-0)),0)</f>
        <v>0.47572718154463389</v>
      </c>
    </row>
    <row r="14" spans="1:7" x14ac:dyDescent="0.2">
      <c r="A14" s="11" t="s">
        <v>115</v>
      </c>
      <c r="B14" s="17">
        <v>5892</v>
      </c>
      <c r="C14" s="17">
        <v>199</v>
      </c>
      <c r="D14" s="17">
        <v>6446</v>
      </c>
      <c r="E14" s="17">
        <v>6645</v>
      </c>
      <c r="F14" s="17">
        <v>4743</v>
      </c>
      <c r="G14" s="18">
        <f>IF(AND(F67&lt;&gt;0,4743&lt;&gt;0),IF(100*4743/(F67-0)&lt;0.005,"*",100*4743/(F67-0)),0)</f>
        <v>0.47572718154463389</v>
      </c>
    </row>
    <row r="15" spans="1:7" x14ac:dyDescent="0.2">
      <c r="A15" s="11" t="s">
        <v>116</v>
      </c>
      <c r="B15" s="17">
        <v>45205</v>
      </c>
      <c r="C15" s="17">
        <v>1371</v>
      </c>
      <c r="D15" s="17">
        <v>44319</v>
      </c>
      <c r="E15" s="17">
        <v>45690</v>
      </c>
      <c r="F15" s="17">
        <v>32613</v>
      </c>
      <c r="G15" s="18">
        <f>IF(AND(F67&lt;&gt;0,32613&lt;&gt;0),IF(100*32613/(F67-0)&lt;0.005,"*",100*32613/(F67-0)),0)</f>
        <v>3.2711133400200603</v>
      </c>
    </row>
    <row r="16" spans="1:7" x14ac:dyDescent="0.2">
      <c r="A16" s="11" t="s">
        <v>117</v>
      </c>
      <c r="B16" s="17">
        <v>22643</v>
      </c>
      <c r="C16" s="17">
        <v>687</v>
      </c>
      <c r="D16" s="17">
        <v>22199</v>
      </c>
      <c r="E16" s="17">
        <v>22886</v>
      </c>
      <c r="F16" s="17">
        <v>16336</v>
      </c>
      <c r="G16" s="18">
        <f>IF(AND(F67&lt;&gt;0,16336&lt;&gt;0),IF(100*16336/(F67-0)&lt;0.005,"*",100*16336/(F67-0)),0)</f>
        <v>1.6385155466399197</v>
      </c>
    </row>
    <row r="17" spans="1:7" x14ac:dyDescent="0.2">
      <c r="A17" s="11" t="s">
        <v>118</v>
      </c>
      <c r="B17" s="17">
        <v>9983</v>
      </c>
      <c r="C17" s="17">
        <v>314</v>
      </c>
      <c r="D17" s="17">
        <v>10169</v>
      </c>
      <c r="E17" s="17">
        <v>10483</v>
      </c>
      <c r="F17" s="17">
        <v>7483</v>
      </c>
      <c r="G17" s="18">
        <f>IF(AND(F67&lt;&gt;0,7483&lt;&gt;0),IF(100*7483/(F67-0)&lt;0.005,"*",100*7483/(F67-0)),0)</f>
        <v>0.75055165496489473</v>
      </c>
    </row>
    <row r="18" spans="1:7" x14ac:dyDescent="0.2">
      <c r="A18" s="11" t="s">
        <v>119</v>
      </c>
      <c r="B18" s="17">
        <v>6574</v>
      </c>
      <c r="C18" s="17">
        <v>199</v>
      </c>
      <c r="D18" s="17">
        <v>6446</v>
      </c>
      <c r="E18" s="17">
        <v>6645</v>
      </c>
      <c r="F18" s="17">
        <v>4743</v>
      </c>
      <c r="G18" s="18">
        <f>IF(AND(F67&lt;&gt;0,4743&lt;&gt;0),IF(100*4743/(F67-0)&lt;0.005,"*",100*4743/(F67-0)),0)</f>
        <v>0.47572718154463389</v>
      </c>
    </row>
    <row r="19" spans="1:7" x14ac:dyDescent="0.2">
      <c r="A19" s="11" t="s">
        <v>120</v>
      </c>
      <c r="B19" s="17">
        <v>60663</v>
      </c>
      <c r="C19" s="17">
        <v>1837</v>
      </c>
      <c r="D19" s="17">
        <v>59381</v>
      </c>
      <c r="E19" s="17">
        <v>61218</v>
      </c>
      <c r="F19" s="17">
        <v>43696</v>
      </c>
      <c r="G19" s="18">
        <f>IF(AND(F67&lt;&gt;0,43696&lt;&gt;0),IF(100*43696/(F67-0)&lt;0.005,"*",100*43696/(F67-0)),0)</f>
        <v>4.382748244734203</v>
      </c>
    </row>
    <row r="20" spans="1:7" x14ac:dyDescent="0.2">
      <c r="A20" s="11" t="s">
        <v>121</v>
      </c>
      <c r="B20" s="17">
        <v>32275</v>
      </c>
      <c r="C20" s="17">
        <v>979</v>
      </c>
      <c r="D20" s="17">
        <v>31642</v>
      </c>
      <c r="E20" s="17">
        <v>32621</v>
      </c>
      <c r="F20" s="17">
        <v>23284</v>
      </c>
      <c r="G20" s="18">
        <f>IF(AND(F67&lt;&gt;0,23284&lt;&gt;0),IF(100*23284/(F67-0)&lt;0.005,"*",100*23284/(F67-0)),0)</f>
        <v>2.3354062186559679</v>
      </c>
    </row>
    <row r="21" spans="1:7" x14ac:dyDescent="0.2">
      <c r="A21" s="11" t="s">
        <v>122</v>
      </c>
      <c r="B21" s="17">
        <v>18125</v>
      </c>
      <c r="C21" s="17">
        <v>550</v>
      </c>
      <c r="D21" s="17">
        <v>17770</v>
      </c>
      <c r="E21" s="17">
        <v>18320</v>
      </c>
      <c r="F21" s="17">
        <v>13076</v>
      </c>
      <c r="G21" s="18">
        <f>IF(AND(F67&lt;&gt;0,13076&lt;&gt;0),IF(100*13076/(F67-0)&lt;0.005,"*",100*13076/(F67-0)),0)</f>
        <v>1.3115346038114344</v>
      </c>
    </row>
    <row r="22" spans="1:7" x14ac:dyDescent="0.2">
      <c r="A22" s="11" t="s">
        <v>123</v>
      </c>
      <c r="B22" s="17">
        <v>12088</v>
      </c>
      <c r="C22" s="17">
        <v>367</v>
      </c>
      <c r="D22" s="17">
        <v>11851</v>
      </c>
      <c r="E22" s="17">
        <v>12218</v>
      </c>
      <c r="F22" s="17">
        <v>8721</v>
      </c>
      <c r="G22" s="18">
        <f>IF(AND(F67&lt;&gt;0,8721&lt;&gt;0),IF(100*8721/(F67-0)&lt;0.005,"*",100*8721/(F67-0)),0)</f>
        <v>0.87472417251755263</v>
      </c>
    </row>
    <row r="23" spans="1:7" x14ac:dyDescent="0.2">
      <c r="A23" s="11" t="s">
        <v>124</v>
      </c>
      <c r="B23" s="17">
        <v>17044</v>
      </c>
      <c r="C23" s="17">
        <v>517</v>
      </c>
      <c r="D23" s="17">
        <v>16710</v>
      </c>
      <c r="E23" s="17">
        <v>17227</v>
      </c>
      <c r="F23" s="17">
        <v>12297</v>
      </c>
      <c r="G23" s="18">
        <f>IF(AND(F67&lt;&gt;0,12297&lt;&gt;0),IF(100*12297/(F67-0)&lt;0.005,"*",100*12297/(F67-0)),0)</f>
        <v>1.2334002006018054</v>
      </c>
    </row>
    <row r="24" spans="1:7" x14ac:dyDescent="0.2">
      <c r="A24" s="11" t="s">
        <v>125</v>
      </c>
      <c r="B24" s="17">
        <v>14447</v>
      </c>
      <c r="C24" s="17">
        <v>446</v>
      </c>
      <c r="D24" s="17">
        <v>14434</v>
      </c>
      <c r="E24" s="17">
        <v>14880</v>
      </c>
      <c r="F24" s="17">
        <v>10621</v>
      </c>
      <c r="G24" s="18">
        <f>IF(AND(F67&lt;&gt;0,10621&lt;&gt;0),IF(100*10621/(F67-0)&lt;0.005,"*",100*10621/(F67-0)),0)</f>
        <v>1.065295887662989</v>
      </c>
    </row>
    <row r="25" spans="1:7" x14ac:dyDescent="0.2">
      <c r="A25" s="11" t="s">
        <v>126</v>
      </c>
      <c r="B25" s="17">
        <v>10367</v>
      </c>
      <c r="C25" s="17">
        <v>314</v>
      </c>
      <c r="D25" s="17">
        <v>10164</v>
      </c>
      <c r="E25" s="17">
        <v>10478</v>
      </c>
      <c r="F25" s="17">
        <v>7479</v>
      </c>
      <c r="G25" s="18">
        <f>IF(AND(F67&lt;&gt;0,7479&lt;&gt;0),IF(100*7479/(F67-0)&lt;0.005,"*",100*7479/(F67-0)),0)</f>
        <v>0.75015045135406222</v>
      </c>
    </row>
    <row r="26" spans="1:7" x14ac:dyDescent="0.2">
      <c r="A26" s="11" t="s">
        <v>127</v>
      </c>
      <c r="B26" s="17">
        <v>32390</v>
      </c>
      <c r="C26" s="17">
        <v>982</v>
      </c>
      <c r="D26" s="17">
        <v>31756</v>
      </c>
      <c r="E26" s="17">
        <v>32738</v>
      </c>
      <c r="F26" s="17">
        <v>23367</v>
      </c>
      <c r="G26" s="18">
        <f>IF(AND(F67&lt;&gt;0,23367&lt;&gt;0),IF(100*23367/(F67-0)&lt;0.005,"*",100*23367/(F67-0)),0)</f>
        <v>2.3437311935807421</v>
      </c>
    </row>
    <row r="27" spans="1:7" x14ac:dyDescent="0.2">
      <c r="A27" s="11" t="s">
        <v>128</v>
      </c>
      <c r="B27" s="17">
        <v>45469</v>
      </c>
      <c r="C27" s="17">
        <v>1379</v>
      </c>
      <c r="D27" s="17">
        <v>44578</v>
      </c>
      <c r="E27" s="17">
        <v>45957</v>
      </c>
      <c r="F27" s="17">
        <v>32803</v>
      </c>
      <c r="G27" s="18">
        <f>IF(AND(F67&lt;&gt;0,32803&lt;&gt;0),IF(100*32803/(F67-0)&lt;0.005,"*",100*32803/(F67-0)),0)</f>
        <v>3.2901705115346038</v>
      </c>
    </row>
    <row r="28" spans="1:7" x14ac:dyDescent="0.2">
      <c r="A28" s="11" t="s">
        <v>129</v>
      </c>
      <c r="B28" s="17">
        <v>57583</v>
      </c>
      <c r="C28" s="17">
        <v>1746</v>
      </c>
      <c r="D28" s="17">
        <v>56455</v>
      </c>
      <c r="E28" s="17">
        <v>58201</v>
      </c>
      <c r="F28" s="17">
        <v>41543</v>
      </c>
      <c r="G28" s="18">
        <f>IF(AND(F67&lt;&gt;0,41543&lt;&gt;0),IF(100*41543/(F67-0)&lt;0.005,"*",100*41543/(F67-0)),0)</f>
        <v>4.1668004012036111</v>
      </c>
    </row>
    <row r="29" spans="1:7" x14ac:dyDescent="0.2">
      <c r="A29" s="11" t="s">
        <v>130</v>
      </c>
      <c r="B29" s="17">
        <v>24392</v>
      </c>
      <c r="C29" s="17">
        <v>746</v>
      </c>
      <c r="D29" s="17">
        <v>24133</v>
      </c>
      <c r="E29" s="17">
        <v>24879</v>
      </c>
      <c r="F29" s="17">
        <v>17758</v>
      </c>
      <c r="G29" s="18">
        <f>IF(AND(F67&lt;&gt;0,17758&lt;&gt;0),IF(100*17758/(F67-0)&lt;0.005,"*",100*17758/(F67-0)),0)</f>
        <v>1.7811434302908726</v>
      </c>
    </row>
    <row r="30" spans="1:7" x14ac:dyDescent="0.2">
      <c r="A30" s="11" t="s">
        <v>131</v>
      </c>
      <c r="B30" s="17">
        <v>12066</v>
      </c>
      <c r="C30" s="17">
        <v>366</v>
      </c>
      <c r="D30" s="17">
        <v>11829</v>
      </c>
      <c r="E30" s="17">
        <v>12195</v>
      </c>
      <c r="F30" s="17">
        <v>8705</v>
      </c>
      <c r="G30" s="18">
        <f>IF(AND(F67&lt;&gt;0,8705&lt;&gt;0),IF(100*8705/(F67-0)&lt;0.005,"*",100*8705/(F67-0)),0)</f>
        <v>0.8731193580742227</v>
      </c>
    </row>
    <row r="31" spans="1:7" x14ac:dyDescent="0.2">
      <c r="A31" s="11" t="s">
        <v>132</v>
      </c>
      <c r="B31" s="17">
        <v>37125</v>
      </c>
      <c r="C31" s="17">
        <v>1126</v>
      </c>
      <c r="D31" s="17">
        <v>36398</v>
      </c>
      <c r="E31" s="17">
        <v>37524</v>
      </c>
      <c r="F31" s="17">
        <v>26784</v>
      </c>
      <c r="G31" s="18">
        <f>IF(AND(F67&lt;&gt;0,26784&lt;&gt;0),IF(100*26784/(F67-0)&lt;0.005,"*",100*26784/(F67-0)),0)</f>
        <v>2.6864593781344031</v>
      </c>
    </row>
    <row r="32" spans="1:7" x14ac:dyDescent="0.2">
      <c r="A32" s="11" t="s">
        <v>133</v>
      </c>
      <c r="B32" s="17">
        <v>6574</v>
      </c>
      <c r="C32" s="17">
        <v>199</v>
      </c>
      <c r="D32" s="17">
        <v>6446</v>
      </c>
      <c r="E32" s="17">
        <v>6645</v>
      </c>
      <c r="F32" s="17">
        <v>4743</v>
      </c>
      <c r="G32" s="18">
        <f>IF(AND(F67&lt;&gt;0,4743&lt;&gt;0),IF(100*4743/(F67-0)&lt;0.005,"*",100*4743/(F67-0)),0)</f>
        <v>0.47572718154463389</v>
      </c>
    </row>
    <row r="33" spans="1:7" x14ac:dyDescent="0.2">
      <c r="A33" s="11" t="s">
        <v>134</v>
      </c>
      <c r="B33" s="17">
        <v>6850</v>
      </c>
      <c r="C33" s="17">
        <v>208</v>
      </c>
      <c r="D33" s="17">
        <v>6715</v>
      </c>
      <c r="E33" s="17">
        <v>6923</v>
      </c>
      <c r="F33" s="17">
        <v>4942</v>
      </c>
      <c r="G33" s="18">
        <f>IF(AND(F67&lt;&gt;0,4942&lt;&gt;0),IF(100*4942/(F67-0)&lt;0.005,"*",100*4942/(F67-0)),0)</f>
        <v>0.49568706118355066</v>
      </c>
    </row>
    <row r="34" spans="1:7" x14ac:dyDescent="0.2">
      <c r="A34" s="11" t="s">
        <v>135</v>
      </c>
      <c r="B34" s="17">
        <v>6574</v>
      </c>
      <c r="C34" s="17">
        <v>199</v>
      </c>
      <c r="D34" s="17">
        <v>6446</v>
      </c>
      <c r="E34" s="17">
        <v>6645</v>
      </c>
      <c r="F34" s="17">
        <v>4743</v>
      </c>
      <c r="G34" s="18">
        <f>IF(AND(F67&lt;&gt;0,4743&lt;&gt;0),IF(100*4743/(F67-0)&lt;0.005,"*",100*4743/(F67-0)),0)</f>
        <v>0.47572718154463389</v>
      </c>
    </row>
    <row r="35" spans="1:7" x14ac:dyDescent="0.2">
      <c r="A35" s="11" t="s">
        <v>136</v>
      </c>
      <c r="B35" s="17">
        <v>13383</v>
      </c>
      <c r="C35" s="17">
        <v>406</v>
      </c>
      <c r="D35" s="17">
        <v>13121</v>
      </c>
      <c r="E35" s="17">
        <v>13527</v>
      </c>
      <c r="F35" s="17">
        <v>9655</v>
      </c>
      <c r="G35" s="18">
        <f>IF(AND(F67&lt;&gt;0,9655&lt;&gt;0),IF(100*9655/(F67-0)&lt;0.005,"*",100*9655/(F67-0)),0)</f>
        <v>0.96840521564694082</v>
      </c>
    </row>
    <row r="36" spans="1:7" x14ac:dyDescent="0.2">
      <c r="A36" s="11" t="s">
        <v>137</v>
      </c>
      <c r="B36" s="17">
        <v>54726</v>
      </c>
      <c r="C36" s="17">
        <v>1659</v>
      </c>
      <c r="D36" s="17">
        <v>53654</v>
      </c>
      <c r="E36" s="17">
        <v>55313</v>
      </c>
      <c r="F36" s="17">
        <v>39481</v>
      </c>
      <c r="G36" s="18">
        <f>IF(AND(F67&lt;&gt;0,39481&lt;&gt;0),IF(100*39481/(F67-0)&lt;0.005,"*",100*39481/(F67-0)),0)</f>
        <v>3.9599799398194584</v>
      </c>
    </row>
    <row r="37" spans="1:7" x14ac:dyDescent="0.2">
      <c r="A37" s="11" t="s">
        <v>138</v>
      </c>
      <c r="B37" s="17">
        <v>8124</v>
      </c>
      <c r="C37" s="17">
        <v>199</v>
      </c>
      <c r="D37" s="17">
        <v>6446</v>
      </c>
      <c r="E37" s="17">
        <v>6645</v>
      </c>
      <c r="F37" s="17">
        <v>4743</v>
      </c>
      <c r="G37" s="18">
        <f>IF(AND(F67&lt;&gt;0,4743&lt;&gt;0),IF(100*4743/(F67-0)&lt;0.005,"*",100*4743/(F67-0)),0)</f>
        <v>0.47572718154463389</v>
      </c>
    </row>
    <row r="38" spans="1:7" x14ac:dyDescent="0.2">
      <c r="A38" s="11" t="s">
        <v>139</v>
      </c>
      <c r="B38" s="17">
        <v>147822</v>
      </c>
      <c r="C38" s="17">
        <v>4482</v>
      </c>
      <c r="D38" s="17">
        <v>144923</v>
      </c>
      <c r="E38" s="17">
        <v>149405</v>
      </c>
      <c r="F38" s="17">
        <v>106640</v>
      </c>
      <c r="G38" s="18">
        <f>IF(AND(F67&lt;&gt;0,106640&lt;&gt;0),IF(100*106640/(F67-0)&lt;0.005,"*",100*106640/(F67-0)),0)</f>
        <v>10.696088264794383</v>
      </c>
    </row>
    <row r="39" spans="1:7" x14ac:dyDescent="0.2">
      <c r="A39" s="11" t="s">
        <v>140</v>
      </c>
      <c r="B39" s="17">
        <v>24170</v>
      </c>
      <c r="C39" s="17">
        <v>733</v>
      </c>
      <c r="D39" s="17">
        <v>23696</v>
      </c>
      <c r="E39" s="17">
        <v>24429</v>
      </c>
      <c r="F39" s="17">
        <v>17437</v>
      </c>
      <c r="G39" s="18">
        <f>IF(AND(F67&lt;&gt;0,17437&lt;&gt;0),IF(100*17437/(F67-0)&lt;0.005,"*",100*17437/(F67-0)),0)</f>
        <v>1.7489468405215647</v>
      </c>
    </row>
    <row r="40" spans="1:7" x14ac:dyDescent="0.2">
      <c r="A40" s="11" t="s">
        <v>141</v>
      </c>
      <c r="B40" s="17">
        <v>6574</v>
      </c>
      <c r="C40" s="17">
        <v>199</v>
      </c>
      <c r="D40" s="17">
        <v>6446</v>
      </c>
      <c r="E40" s="17">
        <v>6645</v>
      </c>
      <c r="F40" s="17">
        <v>4743</v>
      </c>
      <c r="G40" s="18">
        <f>IF(AND(F67&lt;&gt;0,4743&lt;&gt;0),IF(100*4743/(F67-0)&lt;0.005,"*",100*4743/(F67-0)),0)</f>
        <v>0.47572718154463389</v>
      </c>
    </row>
    <row r="41" spans="1:7" x14ac:dyDescent="0.2">
      <c r="A41" s="11" t="s">
        <v>142</v>
      </c>
      <c r="B41" s="17">
        <v>75392</v>
      </c>
      <c r="C41" s="17">
        <v>2286</v>
      </c>
      <c r="D41" s="17">
        <v>73915</v>
      </c>
      <c r="E41" s="17">
        <v>76201</v>
      </c>
      <c r="F41" s="17">
        <v>54391</v>
      </c>
      <c r="G41" s="18">
        <f>IF(AND(F67&lt;&gt;0,54391&lt;&gt;0),IF(100*54391/(F67-0)&lt;0.005,"*",100*54391/(F67-0)),0)</f>
        <v>5.4554663991975927</v>
      </c>
    </row>
    <row r="42" spans="1:7" x14ac:dyDescent="0.2">
      <c r="A42" s="11" t="s">
        <v>143</v>
      </c>
      <c r="B42" s="17">
        <v>11642</v>
      </c>
      <c r="C42" s="17">
        <v>328</v>
      </c>
      <c r="D42" s="17">
        <v>10608</v>
      </c>
      <c r="E42" s="17">
        <v>10936</v>
      </c>
      <c r="F42" s="17">
        <v>7806</v>
      </c>
      <c r="G42" s="18">
        <f>IF(AND(F67&lt;&gt;0,7806&lt;&gt;0),IF(100*7806/(F67-0)&lt;0.005,"*",100*7806/(F67-0)),0)</f>
        <v>0.78294884653961883</v>
      </c>
    </row>
    <row r="43" spans="1:7" x14ac:dyDescent="0.2">
      <c r="A43" s="11" t="s">
        <v>144</v>
      </c>
      <c r="B43" s="17">
        <v>15128</v>
      </c>
      <c r="C43" s="17">
        <v>459</v>
      </c>
      <c r="D43" s="17">
        <v>14832</v>
      </c>
      <c r="E43" s="17">
        <v>15291</v>
      </c>
      <c r="F43" s="17">
        <v>10914</v>
      </c>
      <c r="G43" s="18">
        <f>IF(AND(F67&lt;&gt;0,10914&lt;&gt;0),IF(100*10914/(F67-0)&lt;0.005,"*",100*10914/(F67-0)),0)</f>
        <v>1.0946840521564694</v>
      </c>
    </row>
    <row r="44" spans="1:7" x14ac:dyDescent="0.2">
      <c r="A44" s="11" t="s">
        <v>145</v>
      </c>
      <c r="B44" s="17">
        <v>53048</v>
      </c>
      <c r="C44" s="17">
        <v>1609</v>
      </c>
      <c r="D44" s="17">
        <v>52008</v>
      </c>
      <c r="E44" s="17">
        <v>53617</v>
      </c>
      <c r="F44" s="17">
        <v>38271</v>
      </c>
      <c r="G44" s="18">
        <f>IF(AND(F67&lt;&gt;0,38271&lt;&gt;0),IF(100*38271/(F67-0)&lt;0.005,"*",100*38271/(F67-0)),0)</f>
        <v>3.838615847542628</v>
      </c>
    </row>
    <row r="45" spans="1:7" x14ac:dyDescent="0.2">
      <c r="A45" s="11" t="s">
        <v>146</v>
      </c>
      <c r="B45" s="17">
        <v>8992</v>
      </c>
      <c r="C45" s="17">
        <v>273</v>
      </c>
      <c r="D45" s="17">
        <v>8816</v>
      </c>
      <c r="E45" s="17">
        <v>9089</v>
      </c>
      <c r="F45" s="17">
        <v>6487</v>
      </c>
      <c r="G45" s="18">
        <f>IF(AND(F67&lt;&gt;0,6487&lt;&gt;0),IF(100*6487/(F67-0)&lt;0.005,"*",100*6487/(F67-0)),0)</f>
        <v>0.65065195586760283</v>
      </c>
    </row>
    <row r="46" spans="1:7" x14ac:dyDescent="0.2">
      <c r="A46" s="11" t="s">
        <v>147</v>
      </c>
      <c r="B46" s="17">
        <v>13720</v>
      </c>
      <c r="C46" s="17">
        <v>416</v>
      </c>
      <c r="D46" s="17">
        <v>13451</v>
      </c>
      <c r="E46" s="17">
        <v>13867</v>
      </c>
      <c r="F46" s="17">
        <v>9898</v>
      </c>
      <c r="G46" s="18">
        <f>IF(AND(F67&lt;&gt;0,9898&lt;&gt;0),IF(100*9898/(F67-0)&lt;0.005,"*",100*9898/(F67-0)),0)</f>
        <v>0.992778335005015</v>
      </c>
    </row>
    <row r="47" spans="1:7" x14ac:dyDescent="0.2">
      <c r="A47" s="11" t="s">
        <v>148</v>
      </c>
      <c r="B47" s="17">
        <v>6574</v>
      </c>
      <c r="C47" s="17">
        <v>199</v>
      </c>
      <c r="D47" s="17">
        <v>6446</v>
      </c>
      <c r="E47" s="17">
        <v>6645</v>
      </c>
      <c r="F47" s="17">
        <v>4743</v>
      </c>
      <c r="G47" s="18">
        <f>IF(AND(F67&lt;&gt;0,4743&lt;&gt;0),IF(100*4743/(F67-0)&lt;0.005,"*",100*4743/(F67-0)),0)</f>
        <v>0.47572718154463389</v>
      </c>
    </row>
    <row r="48" spans="1:7" x14ac:dyDescent="0.2">
      <c r="A48" s="11" t="s">
        <v>149</v>
      </c>
      <c r="B48" s="17">
        <v>31739</v>
      </c>
      <c r="C48" s="17">
        <v>590</v>
      </c>
      <c r="D48" s="17">
        <v>19073</v>
      </c>
      <c r="E48" s="17">
        <v>19663</v>
      </c>
      <c r="F48" s="17">
        <v>14035</v>
      </c>
      <c r="G48" s="18">
        <f>IF(AND(F67&lt;&gt;0,14035&lt;&gt;0),IF(100*14035/(F67-0)&lt;0.005,"*",100*14035/(F67-0)),0)</f>
        <v>1.4077231695085255</v>
      </c>
    </row>
    <row r="49" spans="1:7" x14ac:dyDescent="0.2">
      <c r="A49" s="11" t="s">
        <v>150</v>
      </c>
      <c r="B49" s="17">
        <v>61210</v>
      </c>
      <c r="C49" s="17">
        <v>1856</v>
      </c>
      <c r="D49" s="17">
        <v>60011</v>
      </c>
      <c r="E49" s="17">
        <v>61867</v>
      </c>
      <c r="F49" s="17">
        <v>44159</v>
      </c>
      <c r="G49" s="18">
        <f>IF(AND(F67&lt;&gt;0,44159&lt;&gt;0),IF(100*44159/(F67-0)&lt;0.005,"*",100*44159/(F67-0)),0)</f>
        <v>4.4291875626880639</v>
      </c>
    </row>
    <row r="50" spans="1:7" x14ac:dyDescent="0.2">
      <c r="A50" s="11" t="s">
        <v>151</v>
      </c>
      <c r="B50" s="17">
        <v>7056</v>
      </c>
      <c r="C50" s="17">
        <v>214</v>
      </c>
      <c r="D50" s="17">
        <v>6918</v>
      </c>
      <c r="E50" s="17">
        <v>7132</v>
      </c>
      <c r="F50" s="17">
        <v>5091</v>
      </c>
      <c r="G50" s="18">
        <f>IF(AND(F67&lt;&gt;0,5091&lt;&gt;0),IF(100*5091/(F67-0)&lt;0.005,"*",100*5091/(F67-0)),0)</f>
        <v>0.51063189568706113</v>
      </c>
    </row>
    <row r="51" spans="1:7" x14ac:dyDescent="0.2">
      <c r="A51" s="11" t="s">
        <v>152</v>
      </c>
      <c r="B51" s="17">
        <v>6574</v>
      </c>
      <c r="C51" s="17">
        <v>199</v>
      </c>
      <c r="D51" s="17">
        <v>6446</v>
      </c>
      <c r="E51" s="17">
        <v>6645</v>
      </c>
      <c r="F51" s="17">
        <v>4743</v>
      </c>
      <c r="G51" s="18">
        <f>IF(AND(F67&lt;&gt;0,4743&lt;&gt;0),IF(100*4743/(F67-0)&lt;0.005,"*",100*4743/(F67-0)),0)</f>
        <v>0.47572718154463389</v>
      </c>
    </row>
    <row r="52" spans="1:7" x14ac:dyDescent="0.2">
      <c r="A52" s="11" t="s">
        <v>153</v>
      </c>
      <c r="B52" s="17">
        <v>27407</v>
      </c>
      <c r="C52" s="17">
        <v>831</v>
      </c>
      <c r="D52" s="17">
        <v>26870</v>
      </c>
      <c r="E52" s="17">
        <v>27701</v>
      </c>
      <c r="F52" s="17">
        <v>19773</v>
      </c>
      <c r="G52" s="18">
        <f>IF(AND(F67&lt;&gt;0,19773&lt;&gt;0),IF(100*19773/(F67-0)&lt;0.005,"*",100*19773/(F67-0)),0)</f>
        <v>1.9832497492477432</v>
      </c>
    </row>
    <row r="53" spans="1:7" x14ac:dyDescent="0.2">
      <c r="A53" s="11" t="s">
        <v>154</v>
      </c>
      <c r="B53" s="17">
        <v>23289</v>
      </c>
      <c r="C53" s="17">
        <v>706</v>
      </c>
      <c r="D53" s="17">
        <v>22833</v>
      </c>
      <c r="E53" s="17">
        <v>23539</v>
      </c>
      <c r="F53" s="17">
        <v>16802</v>
      </c>
      <c r="G53" s="18">
        <f>IF(AND(F67&lt;&gt;0,16802&lt;&gt;0),IF(100*16802/(F67-0)&lt;0.005,"*",100*16802/(F67-0)),0)</f>
        <v>1.6852557673019057</v>
      </c>
    </row>
    <row r="54" spans="1:7" x14ac:dyDescent="0.2">
      <c r="A54" s="11" t="s">
        <v>155</v>
      </c>
      <c r="B54" s="17">
        <v>20877</v>
      </c>
      <c r="C54" s="17">
        <v>633</v>
      </c>
      <c r="D54" s="17">
        <v>20468</v>
      </c>
      <c r="E54" s="17">
        <v>21101</v>
      </c>
      <c r="F54" s="17">
        <v>15061</v>
      </c>
      <c r="G54" s="18">
        <f>IF(AND(F67&lt;&gt;0,15061&lt;&gt;0),IF(100*15061/(F67-0)&lt;0.005,"*",100*15061/(F67-0)),0)</f>
        <v>1.5106318956870612</v>
      </c>
    </row>
    <row r="55" spans="1:7" x14ac:dyDescent="0.2">
      <c r="A55" s="11" t="s">
        <v>156</v>
      </c>
      <c r="B55" s="17">
        <v>36205</v>
      </c>
      <c r="C55" s="17">
        <v>1098</v>
      </c>
      <c r="D55" s="17">
        <v>35496</v>
      </c>
      <c r="E55" s="17">
        <v>36594</v>
      </c>
      <c r="F55" s="17">
        <v>26120</v>
      </c>
      <c r="G55" s="18">
        <f>IF(AND(F67&lt;&gt;0,26120&lt;&gt;0),IF(100*26120/(F67-0)&lt;0.005,"*",100*26120/(F67-0)),0)</f>
        <v>2.6198595787362087</v>
      </c>
    </row>
    <row r="56" spans="1:7" x14ac:dyDescent="0.2">
      <c r="A56" s="11" t="s">
        <v>157</v>
      </c>
      <c r="B56" s="17">
        <v>6579</v>
      </c>
      <c r="C56" s="17">
        <v>199</v>
      </c>
      <c r="D56" s="17">
        <v>6446</v>
      </c>
      <c r="E56" s="17">
        <v>6645</v>
      </c>
      <c r="F56" s="17">
        <v>4743</v>
      </c>
      <c r="G56" s="18">
        <f>IF(AND(F67&lt;&gt;0,4743&lt;&gt;0),IF(100*4743/(F67-0)&lt;0.005,"*",100*4743/(F67-0)),0)</f>
        <v>0.47572718154463389</v>
      </c>
    </row>
    <row r="57" spans="1:7" x14ac:dyDescent="0.2">
      <c r="A57" s="11" t="s">
        <v>158</v>
      </c>
      <c r="B57" s="17">
        <v>6723</v>
      </c>
      <c r="C57" s="17">
        <v>220</v>
      </c>
      <c r="D57" s="17">
        <v>7118</v>
      </c>
      <c r="E57" s="17">
        <v>7338</v>
      </c>
      <c r="F57" s="17">
        <v>5239</v>
      </c>
      <c r="G57" s="18">
        <f>IF(AND(F67&lt;&gt;0,5239&lt;&gt;0),IF(100*5239/(F67-0)&lt;0.005,"*",100*5239/(F67-0)),0)</f>
        <v>0.52547642928786364</v>
      </c>
    </row>
    <row r="58" spans="1:7" x14ac:dyDescent="0.2">
      <c r="A58" s="11" t="s">
        <v>159</v>
      </c>
      <c r="B58" s="17">
        <v>6465</v>
      </c>
      <c r="C58" s="17">
        <v>159</v>
      </c>
      <c r="D58" s="17">
        <v>5150</v>
      </c>
      <c r="E58" s="17">
        <v>5309</v>
      </c>
      <c r="F58" s="17">
        <v>3791</v>
      </c>
      <c r="G58" s="18">
        <f>IF(AND(F67&lt;&gt;0,3791&lt;&gt;0),IF(100*3791/(F67-0)&lt;0.005,"*",100*3791/(F67-0)),0)</f>
        <v>0.38024072216649951</v>
      </c>
    </row>
    <row r="59" spans="1:7" x14ac:dyDescent="0.2">
      <c r="A59" s="11" t="s">
        <v>160</v>
      </c>
      <c r="B59" s="17">
        <v>3373</v>
      </c>
      <c r="C59" s="17">
        <v>102</v>
      </c>
      <c r="D59" s="17">
        <v>3308</v>
      </c>
      <c r="E59" s="17">
        <v>3410</v>
      </c>
      <c r="F59" s="17">
        <v>2435</v>
      </c>
      <c r="G59" s="18">
        <f>IF(AND(F67&lt;&gt;0,2435&lt;&gt;0),IF(100*2435/(F67-0)&lt;0.005,"*",100*2435/(F67-0)),0)</f>
        <v>0.24423269809428286</v>
      </c>
    </row>
    <row r="60" spans="1:7" x14ac:dyDescent="0.2">
      <c r="A60" s="11" t="s">
        <v>161</v>
      </c>
      <c r="B60" s="17">
        <v>17755</v>
      </c>
      <c r="C60" s="17">
        <v>530</v>
      </c>
      <c r="D60" s="17">
        <v>17124</v>
      </c>
      <c r="E60" s="17">
        <v>17654</v>
      </c>
      <c r="F60" s="17">
        <v>12601</v>
      </c>
      <c r="G60" s="18">
        <f>IF(AND(F67&lt;&gt;0,12601&lt;&gt;0),IF(100*12601/(F67-0)&lt;0.005,"*",100*12601/(F67-0)),0)</f>
        <v>1.2638916750250753</v>
      </c>
    </row>
    <row r="61" spans="1:7" x14ac:dyDescent="0.2">
      <c r="A61" s="11" t="s">
        <v>162</v>
      </c>
      <c r="B61" s="17">
        <v>0</v>
      </c>
      <c r="C61" s="17">
        <v>0</v>
      </c>
      <c r="D61" s="17">
        <v>0</v>
      </c>
      <c r="E61" s="17">
        <v>0</v>
      </c>
      <c r="F61" s="17">
        <v>0</v>
      </c>
      <c r="G61" s="18">
        <f>IF(AND(F67&lt;&gt;0,0&lt;&gt;0),IF(100*0/(F67-0)&lt;0.005,"*",100*0/(F67-0)),0)</f>
        <v>0</v>
      </c>
    </row>
    <row r="62" spans="1:7" x14ac:dyDescent="0.2">
      <c r="A62" s="11" t="s">
        <v>163</v>
      </c>
      <c r="B62" s="17">
        <v>4149</v>
      </c>
      <c r="C62" s="17">
        <v>128</v>
      </c>
      <c r="D62" s="17">
        <v>4131</v>
      </c>
      <c r="E62" s="17">
        <v>4259</v>
      </c>
      <c r="F62" s="17">
        <v>3041</v>
      </c>
      <c r="G62" s="18">
        <f>IF(AND(F67&lt;&gt;0,3041&lt;&gt;0),IF(100*3041/(F67-0)&lt;0.005,"*",100*3041/(F67-0)),0)</f>
        <v>0.30501504513540623</v>
      </c>
    </row>
    <row r="63" spans="1:7" x14ac:dyDescent="0.2">
      <c r="A63" s="11" t="s">
        <v>164</v>
      </c>
      <c r="B63" s="17">
        <v>10268</v>
      </c>
      <c r="C63" s="17">
        <v>900</v>
      </c>
      <c r="D63" s="17">
        <v>29100</v>
      </c>
      <c r="E63" s="17">
        <v>30000</v>
      </c>
      <c r="F63" s="17">
        <v>30000</v>
      </c>
      <c r="G63" s="18">
        <f>IF(AND(F67&lt;&gt;0,30000&lt;&gt;0),IF(100*30000/(F67-0)&lt;0.005,"*",100*30000/(F67-0)),0)</f>
        <v>3.009027081243731</v>
      </c>
    </row>
    <row r="64" spans="1:7" x14ac:dyDescent="0.2">
      <c r="A64" s="11" t="s">
        <v>165</v>
      </c>
      <c r="B64" s="17">
        <v>0</v>
      </c>
      <c r="C64" s="17">
        <v>0</v>
      </c>
      <c r="D64" s="17">
        <v>0</v>
      </c>
      <c r="E64" s="17">
        <v>0</v>
      </c>
      <c r="F64" s="17">
        <v>0</v>
      </c>
      <c r="G64" s="18">
        <v>0</v>
      </c>
    </row>
    <row r="65" spans="1:7" ht="25.5" x14ac:dyDescent="0.2">
      <c r="A65" s="11" t="s">
        <v>384</v>
      </c>
      <c r="B65" s="23" t="s">
        <v>385</v>
      </c>
      <c r="C65" s="17">
        <v>0</v>
      </c>
      <c r="D65" s="17">
        <v>0</v>
      </c>
      <c r="E65" s="17">
        <v>0</v>
      </c>
      <c r="F65" s="17">
        <v>0</v>
      </c>
      <c r="G65" s="18">
        <f>IF(AND(F67&lt;&gt;0,0&lt;&gt;0),IF(100*0/(F67-0)&lt;0.005,"*",100*0/(F67-0)),0)</f>
        <v>0</v>
      </c>
    </row>
    <row r="66" spans="1:7" ht="25.5" x14ac:dyDescent="0.2">
      <c r="A66" s="11" t="s">
        <v>386</v>
      </c>
      <c r="B66" s="23" t="s">
        <v>387</v>
      </c>
      <c r="C66" s="17">
        <v>25</v>
      </c>
      <c r="D66" s="17">
        <v>815</v>
      </c>
      <c r="E66" s="17">
        <v>840</v>
      </c>
      <c r="F66" s="17">
        <v>840</v>
      </c>
      <c r="G66" s="18">
        <f>IF(AND(F67&lt;&gt;0,840&lt;&gt;0),IF(100*840/(F67-0)&lt;0.005,"*",100*840/(F67-0)),0)</f>
        <v>8.425275827482448E-2</v>
      </c>
    </row>
    <row r="67" spans="1:7" ht="15" customHeight="1" x14ac:dyDescent="0.2">
      <c r="A67" s="19" t="s">
        <v>106</v>
      </c>
      <c r="B67" s="20">
        <f>14975+8015+15905+8761+95848+10712+16406+7256+5892+45205+22643+9983+6574+60663+32275+18125+12088+17044+14447+10367+32390+45469+57583+24392+12066+37125+6574+6850+6574+13383+54726+8124+147822+24170+6574+75392+11642+15128+53048+8992+13720+6574+31739+61210+7056+6574+27407+23289+20877+36205+6579+6723+6465+3373+17755+0+4149+10268+0+8812+756+0</f>
        <v>1380739</v>
      </c>
      <c r="C67" s="20">
        <f>454+243+274+266+2904+325+497+199+199+1371+687+314+199+1837+979+550+367+517+446+314+982+1379+1746+746+366+1126+199+208+199+406+1659+199+4482+733+199+2286+328+459+1609+273+416+199+590+1856+214+199+831+706+633+1098+199+220+159+102+530+0+128+900+0+0+25+0</f>
        <v>41531</v>
      </c>
      <c r="D67" s="20">
        <f>14682+7858+8868+8589+93904+10502+16085+6446+6446+44319+22199+10169+6446+59381+31642+17770+11851+16710+14434+10164+31756+44578+56455+24133+11829+36398+6446+6715+6446+13121+53654+6446+144923+23696+6446+73915+10608+14832+52008+8816+13451+6446+19073+60011+6918+6446+26870+22833+20468+35496+6446+7118+5150+3308+17124+0+4131+29100+0+0+815+0</f>
        <v>1342890</v>
      </c>
      <c r="E67" s="20">
        <f>SUM(C67:D67)</f>
        <v>1384421</v>
      </c>
      <c r="F67" s="20">
        <f>10803+5782+6526+6320+69099+7728+11836+4743+4743+32613+16336+7483+4743+43696+23284+13076+8721+12297+10621+7479+23367+32803+41543+17758+8705+26784+4743+4942+4743+9655+39481+4743+106640+17437+4743+54391+7806+10914+38271+6487+9898+4743+14035+44159+5091+4743+19773+16802+15061+26120+4743+5239+3791+2435+12601+0+3041+30000+0+0+840+0</f>
        <v>997000</v>
      </c>
      <c r="G67" s="21" t="s">
        <v>230</v>
      </c>
    </row>
    <row r="68" spans="1:7" ht="21" customHeight="1" x14ac:dyDescent="0.2">
      <c r="A68" s="65" t="s">
        <v>388</v>
      </c>
      <c r="B68" s="65"/>
      <c r="C68" s="65"/>
      <c r="D68" s="65"/>
      <c r="E68" s="65"/>
      <c r="F68" s="65"/>
      <c r="G68" s="65"/>
    </row>
    <row r="69" spans="1:7" ht="34.5" customHeight="1" x14ac:dyDescent="0.2">
      <c r="A69" s="65" t="s">
        <v>389</v>
      </c>
      <c r="B69" s="65"/>
      <c r="C69" s="65"/>
      <c r="D69" s="65"/>
      <c r="E69" s="65"/>
      <c r="F69" s="65"/>
      <c r="G69" s="65"/>
    </row>
    <row r="70" spans="1:7" ht="15" customHeight="1" x14ac:dyDescent="0.2">
      <c r="A70" s="65" t="s">
        <v>231</v>
      </c>
      <c r="B70" s="65"/>
      <c r="C70" s="65"/>
      <c r="D70" s="65"/>
      <c r="E70" s="65"/>
      <c r="F70" s="65"/>
      <c r="G70" s="65"/>
    </row>
  </sheetData>
  <mergeCells count="7">
    <mergeCell ref="A69:G69"/>
    <mergeCell ref="A70:G70"/>
    <mergeCell ref="A4:A5"/>
    <mergeCell ref="B4:B5"/>
    <mergeCell ref="F4:F5"/>
    <mergeCell ref="G4:G5"/>
    <mergeCell ref="A68:G68"/>
  </mergeCells>
  <pageMargins left="0.7" right="0.7" top="0.75" bottom="0.75" header="0.3" footer="0.3"/>
  <pageSetup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381</v>
      </c>
      <c r="B1" s="10"/>
      <c r="C1" s="10"/>
      <c r="D1" s="10"/>
      <c r="E1" s="10"/>
      <c r="F1" s="10"/>
      <c r="G1" s="12" t="s">
        <v>382</v>
      </c>
    </row>
    <row r="2" spans="1:7" x14ac:dyDescent="0.2">
      <c r="A2" s="13" t="s">
        <v>390</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15740</v>
      </c>
      <c r="C6" s="17">
        <v>477</v>
      </c>
      <c r="D6" s="17">
        <v>15436</v>
      </c>
      <c r="E6" s="17">
        <v>15913</v>
      </c>
      <c r="F6" s="17">
        <v>16021</v>
      </c>
      <c r="G6" s="18">
        <f>IF(AND(F71&lt;&gt;0,16021&lt;&gt;0),IF(100*16021/(F71-0)&lt;0.005,"*",100*16021/(F71-0)),0)</f>
        <v>1.856431054461182</v>
      </c>
    </row>
    <row r="7" spans="1:7" x14ac:dyDescent="0.2">
      <c r="A7" s="11" t="s">
        <v>108</v>
      </c>
      <c r="B7" s="17">
        <v>8241</v>
      </c>
      <c r="C7" s="17">
        <v>250</v>
      </c>
      <c r="D7" s="17">
        <v>8082</v>
      </c>
      <c r="E7" s="17">
        <v>8332</v>
      </c>
      <c r="F7" s="17">
        <v>8388</v>
      </c>
      <c r="G7" s="18">
        <f>IF(AND(F71&lt;&gt;0,8388&lt;&gt;0),IF(100*8388/(F71-0)&lt;0.005,"*",100*8388/(F71-0)),0)</f>
        <v>0.97195828505214366</v>
      </c>
    </row>
    <row r="8" spans="1:7" x14ac:dyDescent="0.2">
      <c r="A8" s="11" t="s">
        <v>109</v>
      </c>
      <c r="B8" s="17">
        <v>20006</v>
      </c>
      <c r="C8" s="17">
        <v>451</v>
      </c>
      <c r="D8" s="17">
        <v>14592</v>
      </c>
      <c r="E8" s="17">
        <v>15043</v>
      </c>
      <c r="F8" s="17">
        <v>15145</v>
      </c>
      <c r="G8" s="18">
        <f>IF(AND(F71&lt;&gt;0,15145&lt;&gt;0),IF(100*15145/(F71-0)&lt;0.005,"*",100*15145/(F71-0)),0)</f>
        <v>1.7549246813441484</v>
      </c>
    </row>
    <row r="9" spans="1:7" x14ac:dyDescent="0.2">
      <c r="A9" s="11" t="s">
        <v>110</v>
      </c>
      <c r="B9" s="17">
        <v>12610</v>
      </c>
      <c r="C9" s="17">
        <v>382</v>
      </c>
      <c r="D9" s="17">
        <v>12367</v>
      </c>
      <c r="E9" s="17">
        <v>12749</v>
      </c>
      <c r="F9" s="17">
        <v>12835</v>
      </c>
      <c r="G9" s="18">
        <f>IF(AND(F71&lt;&gt;0,12835&lt;&gt;0),IF(100*12835/(F71-0)&lt;0.005,"*",100*12835/(F71-0)),0)</f>
        <v>1.4872537659327927</v>
      </c>
    </row>
    <row r="10" spans="1:7" x14ac:dyDescent="0.2">
      <c r="A10" s="11" t="s">
        <v>111</v>
      </c>
      <c r="B10" s="17">
        <v>79255</v>
      </c>
      <c r="C10" s="17">
        <v>2352</v>
      </c>
      <c r="D10" s="17">
        <v>76048</v>
      </c>
      <c r="E10" s="17">
        <v>78400</v>
      </c>
      <c r="F10" s="17">
        <v>78926</v>
      </c>
      <c r="G10" s="18">
        <f>IF(AND(F71&lt;&gt;0,78926&lt;&gt;0),IF(100*78926/(F71-0)&lt;0.005,"*",100*78926/(F71-0)),0)</f>
        <v>9.1455388180764778</v>
      </c>
    </row>
    <row r="11" spans="1:7" x14ac:dyDescent="0.2">
      <c r="A11" s="11" t="s">
        <v>112</v>
      </c>
      <c r="B11" s="17">
        <v>14344</v>
      </c>
      <c r="C11" s="17">
        <v>435</v>
      </c>
      <c r="D11" s="17">
        <v>14067</v>
      </c>
      <c r="E11" s="17">
        <v>14502</v>
      </c>
      <c r="F11" s="17">
        <v>14600</v>
      </c>
      <c r="G11" s="18">
        <f>IF(AND(F71&lt;&gt;0,14600&lt;&gt;0),IF(100*14600/(F71-0)&lt;0.005,"*",100*14600/(F71-0)),0)</f>
        <v>1.6917728852838934</v>
      </c>
    </row>
    <row r="12" spans="1:7" x14ac:dyDescent="0.2">
      <c r="A12" s="11" t="s">
        <v>113</v>
      </c>
      <c r="B12" s="17">
        <v>8351</v>
      </c>
      <c r="C12" s="17">
        <v>253</v>
      </c>
      <c r="D12" s="17">
        <v>8190</v>
      </c>
      <c r="E12" s="17">
        <v>8443</v>
      </c>
      <c r="F12" s="17">
        <v>8500</v>
      </c>
      <c r="G12" s="18">
        <f>IF(AND(F71&lt;&gt;0,8500&lt;&gt;0),IF(100*8500/(F71-0)&lt;0.005,"*",100*8500/(F71-0)),0)</f>
        <v>0.98493626882966401</v>
      </c>
    </row>
    <row r="13" spans="1:7" x14ac:dyDescent="0.2">
      <c r="A13" s="11" t="s">
        <v>114</v>
      </c>
      <c r="B13" s="17">
        <v>8241</v>
      </c>
      <c r="C13" s="17">
        <v>250</v>
      </c>
      <c r="D13" s="17">
        <v>8082</v>
      </c>
      <c r="E13" s="17">
        <v>8332</v>
      </c>
      <c r="F13" s="17">
        <v>8388</v>
      </c>
      <c r="G13" s="18">
        <f>IF(AND(F71&lt;&gt;0,8388&lt;&gt;0),IF(100*8388/(F71-0)&lt;0.005,"*",100*8388/(F71-0)),0)</f>
        <v>0.97195828505214366</v>
      </c>
    </row>
    <row r="14" spans="1:7" x14ac:dyDescent="0.2">
      <c r="A14" s="11" t="s">
        <v>115</v>
      </c>
      <c r="B14" s="17">
        <v>8241</v>
      </c>
      <c r="C14" s="17">
        <v>250</v>
      </c>
      <c r="D14" s="17">
        <v>8082</v>
      </c>
      <c r="E14" s="17">
        <v>8332</v>
      </c>
      <c r="F14" s="17">
        <v>8388</v>
      </c>
      <c r="G14" s="18">
        <f>IF(AND(F71&lt;&gt;0,8388&lt;&gt;0),IF(100*8388/(F71-0)&lt;0.005,"*",100*8388/(F71-0)),0)</f>
        <v>0.97195828505214366</v>
      </c>
    </row>
    <row r="15" spans="1:7" x14ac:dyDescent="0.2">
      <c r="A15" s="11" t="s">
        <v>116</v>
      </c>
      <c r="B15" s="17">
        <v>30143</v>
      </c>
      <c r="C15" s="17">
        <v>914</v>
      </c>
      <c r="D15" s="17">
        <v>29562</v>
      </c>
      <c r="E15" s="17">
        <v>30476</v>
      </c>
      <c r="F15" s="17">
        <v>30681</v>
      </c>
      <c r="G15" s="18">
        <f>IF(AND(F71&lt;&gt;0,30681&lt;&gt;0),IF(100*30681/(F71-0)&lt;0.005,"*",100*30681/(F71-0)),0)</f>
        <v>3.5551564310544612</v>
      </c>
    </row>
    <row r="16" spans="1:7" x14ac:dyDescent="0.2">
      <c r="A16" s="11" t="s">
        <v>117</v>
      </c>
      <c r="B16" s="17">
        <v>17968</v>
      </c>
      <c r="C16" s="17">
        <v>545</v>
      </c>
      <c r="D16" s="17">
        <v>17622</v>
      </c>
      <c r="E16" s="17">
        <v>18167</v>
      </c>
      <c r="F16" s="17">
        <v>18289</v>
      </c>
      <c r="G16" s="18">
        <f>IF(AND(F71&lt;&gt;0,18289&lt;&gt;0),IF(100*18289/(F71-0)&lt;0.005,"*",100*18289/(F71-0)),0)</f>
        <v>2.1192352259559675</v>
      </c>
    </row>
    <row r="17" spans="1:7" x14ac:dyDescent="0.2">
      <c r="A17" s="11" t="s">
        <v>118</v>
      </c>
      <c r="B17" s="17">
        <v>8316</v>
      </c>
      <c r="C17" s="17">
        <v>250</v>
      </c>
      <c r="D17" s="17">
        <v>8082</v>
      </c>
      <c r="E17" s="17">
        <v>8332</v>
      </c>
      <c r="F17" s="17">
        <v>8388</v>
      </c>
      <c r="G17" s="18">
        <f>IF(AND(F71&lt;&gt;0,8388&lt;&gt;0),IF(100*8388/(F71-0)&lt;0.005,"*",100*8388/(F71-0)),0)</f>
        <v>0.97195828505214366</v>
      </c>
    </row>
    <row r="18" spans="1:7" x14ac:dyDescent="0.2">
      <c r="A18" s="11" t="s">
        <v>119</v>
      </c>
      <c r="B18" s="17">
        <v>8241</v>
      </c>
      <c r="C18" s="17">
        <v>250</v>
      </c>
      <c r="D18" s="17">
        <v>8082</v>
      </c>
      <c r="E18" s="17">
        <v>8332</v>
      </c>
      <c r="F18" s="17">
        <v>8388</v>
      </c>
      <c r="G18" s="18">
        <f>IF(AND(F71&lt;&gt;0,8388&lt;&gt;0),IF(100*8388/(F71-0)&lt;0.005,"*",100*8388/(F71-0)),0)</f>
        <v>0.97195828505214366</v>
      </c>
    </row>
    <row r="19" spans="1:7" x14ac:dyDescent="0.2">
      <c r="A19" s="11" t="s">
        <v>120</v>
      </c>
      <c r="B19" s="17">
        <v>34488</v>
      </c>
      <c r="C19" s="17">
        <v>1043</v>
      </c>
      <c r="D19" s="17">
        <v>33729</v>
      </c>
      <c r="E19" s="17">
        <v>34772</v>
      </c>
      <c r="F19" s="17">
        <v>35007</v>
      </c>
      <c r="G19" s="18">
        <f>IF(AND(F71&lt;&gt;0,35007&lt;&gt;0),IF(100*35007/(F71-0)&lt;0.005,"*",100*35007/(F71-0)),0)</f>
        <v>4.0564310544611821</v>
      </c>
    </row>
    <row r="20" spans="1:7" x14ac:dyDescent="0.2">
      <c r="A20" s="11" t="s">
        <v>121</v>
      </c>
      <c r="B20" s="17">
        <v>13368</v>
      </c>
      <c r="C20" s="17">
        <v>405</v>
      </c>
      <c r="D20" s="17">
        <v>13111</v>
      </c>
      <c r="E20" s="17">
        <v>13516</v>
      </c>
      <c r="F20" s="17">
        <v>13607</v>
      </c>
      <c r="G20" s="18">
        <f>IF(AND(F71&lt;&gt;0,13607&lt;&gt;0),IF(100*13607/(F71-0)&lt;0.005,"*",100*13607/(F71-0)),0)</f>
        <v>1.5767091541135574</v>
      </c>
    </row>
    <row r="21" spans="1:7" x14ac:dyDescent="0.2">
      <c r="A21" s="11" t="s">
        <v>122</v>
      </c>
      <c r="B21" s="17">
        <v>12326</v>
      </c>
      <c r="C21" s="17">
        <v>374</v>
      </c>
      <c r="D21" s="17">
        <v>12088</v>
      </c>
      <c r="E21" s="17">
        <v>12462</v>
      </c>
      <c r="F21" s="17">
        <v>12546</v>
      </c>
      <c r="G21" s="18">
        <f>IF(AND(F71&lt;&gt;0,12546&lt;&gt;0),IF(100*12546/(F71-0)&lt;0.005,"*",100*12546/(F71-0)),0)</f>
        <v>1.453765932792584</v>
      </c>
    </row>
    <row r="22" spans="1:7" x14ac:dyDescent="0.2">
      <c r="A22" s="11" t="s">
        <v>123</v>
      </c>
      <c r="B22" s="17">
        <v>9167</v>
      </c>
      <c r="C22" s="17">
        <v>285</v>
      </c>
      <c r="D22" s="17">
        <v>9211</v>
      </c>
      <c r="E22" s="17">
        <v>9496</v>
      </c>
      <c r="F22" s="17">
        <v>9560</v>
      </c>
      <c r="G22" s="18">
        <f>IF(AND(F71&lt;&gt;0,9560&lt;&gt;0),IF(100*9560/(F71-0)&lt;0.005,"*",100*9560/(F71-0)),0)</f>
        <v>1.1077636152954808</v>
      </c>
    </row>
    <row r="23" spans="1:7" x14ac:dyDescent="0.2">
      <c r="A23" s="11" t="s">
        <v>124</v>
      </c>
      <c r="B23" s="17">
        <v>12830</v>
      </c>
      <c r="C23" s="17">
        <v>389</v>
      </c>
      <c r="D23" s="17">
        <v>12583</v>
      </c>
      <c r="E23" s="17">
        <v>12972</v>
      </c>
      <c r="F23" s="17">
        <v>13059</v>
      </c>
      <c r="G23" s="18">
        <f>IF(AND(F71&lt;&gt;0,13059&lt;&gt;0),IF(100*13059/(F71-0)&lt;0.005,"*",100*13059/(F71-0)),0)</f>
        <v>1.5132097334878332</v>
      </c>
    </row>
    <row r="24" spans="1:7" x14ac:dyDescent="0.2">
      <c r="A24" s="11" t="s">
        <v>125</v>
      </c>
      <c r="B24" s="17">
        <v>12751</v>
      </c>
      <c r="C24" s="17">
        <v>343</v>
      </c>
      <c r="D24" s="17">
        <v>11081</v>
      </c>
      <c r="E24" s="17">
        <v>11424</v>
      </c>
      <c r="F24" s="17">
        <v>11501</v>
      </c>
      <c r="G24" s="18">
        <f>IF(AND(F71&lt;&gt;0,11501&lt;&gt;0),IF(100*11501/(F71-0)&lt;0.005,"*",100*11501/(F71-0)),0)</f>
        <v>1.3326767091541136</v>
      </c>
    </row>
    <row r="25" spans="1:7" x14ac:dyDescent="0.2">
      <c r="A25" s="11" t="s">
        <v>126</v>
      </c>
      <c r="B25" s="17">
        <v>8241</v>
      </c>
      <c r="C25" s="17">
        <v>250</v>
      </c>
      <c r="D25" s="17">
        <v>8082</v>
      </c>
      <c r="E25" s="17">
        <v>8332</v>
      </c>
      <c r="F25" s="17">
        <v>8388</v>
      </c>
      <c r="G25" s="18">
        <f>IF(AND(F71&lt;&gt;0,8388&lt;&gt;0),IF(100*8388/(F71-0)&lt;0.005,"*",100*8388/(F71-0)),0)</f>
        <v>0.97195828505214366</v>
      </c>
    </row>
    <row r="26" spans="1:7" x14ac:dyDescent="0.2">
      <c r="A26" s="11" t="s">
        <v>127</v>
      </c>
      <c r="B26" s="17">
        <v>13987</v>
      </c>
      <c r="C26" s="17">
        <v>424</v>
      </c>
      <c r="D26" s="17">
        <v>13718</v>
      </c>
      <c r="E26" s="17">
        <v>14142</v>
      </c>
      <c r="F26" s="17">
        <v>14237</v>
      </c>
      <c r="G26" s="18">
        <f>IF(AND(F71&lt;&gt;0,14237&lt;&gt;0),IF(100*14237/(F71-0)&lt;0.005,"*",100*14237/(F71-0)),0)</f>
        <v>1.6497103128621089</v>
      </c>
    </row>
    <row r="27" spans="1:7" x14ac:dyDescent="0.2">
      <c r="A27" s="11" t="s">
        <v>128</v>
      </c>
      <c r="B27" s="17">
        <v>15319</v>
      </c>
      <c r="C27" s="17">
        <v>465</v>
      </c>
      <c r="D27" s="17">
        <v>15023</v>
      </c>
      <c r="E27" s="17">
        <v>15488</v>
      </c>
      <c r="F27" s="17">
        <v>15593</v>
      </c>
      <c r="G27" s="18">
        <f>IF(AND(F71&lt;&gt;0,15593&lt;&gt;0),IF(100*15593/(F71-0)&lt;0.005,"*",100*15593/(F71-0)),0)</f>
        <v>1.8068366164542293</v>
      </c>
    </row>
    <row r="28" spans="1:7" x14ac:dyDescent="0.2">
      <c r="A28" s="11" t="s">
        <v>129</v>
      </c>
      <c r="B28" s="17">
        <v>25662</v>
      </c>
      <c r="C28" s="17">
        <v>778</v>
      </c>
      <c r="D28" s="17">
        <v>25157</v>
      </c>
      <c r="E28" s="17">
        <v>25935</v>
      </c>
      <c r="F28" s="17">
        <v>26110</v>
      </c>
      <c r="G28" s="18">
        <f>IF(AND(F71&lt;&gt;0,26110&lt;&gt;0),IF(100*26110/(F71-0)&lt;0.005,"*",100*26110/(F71-0)),0)</f>
        <v>3.0254924681344146</v>
      </c>
    </row>
    <row r="29" spans="1:7" x14ac:dyDescent="0.2">
      <c r="A29" s="11" t="s">
        <v>130</v>
      </c>
      <c r="B29" s="17">
        <v>14747</v>
      </c>
      <c r="C29" s="17">
        <v>447</v>
      </c>
      <c r="D29" s="17">
        <v>14463</v>
      </c>
      <c r="E29" s="17">
        <v>14910</v>
      </c>
      <c r="F29" s="17">
        <v>15011</v>
      </c>
      <c r="G29" s="18">
        <f>IF(AND(F71&lt;&gt;0,15011&lt;&gt;0),IF(100*15011/(F71-0)&lt;0.005,"*",100*15011/(F71-0)),0)</f>
        <v>1.7393974507531866</v>
      </c>
    </row>
    <row r="30" spans="1:7" x14ac:dyDescent="0.2">
      <c r="A30" s="11" t="s">
        <v>131</v>
      </c>
      <c r="B30" s="17">
        <v>8534</v>
      </c>
      <c r="C30" s="17">
        <v>259</v>
      </c>
      <c r="D30" s="17">
        <v>8369</v>
      </c>
      <c r="E30" s="17">
        <v>8628</v>
      </c>
      <c r="F30" s="17">
        <v>8686</v>
      </c>
      <c r="G30" s="18">
        <f>IF(AND(F71&lt;&gt;0,8686&lt;&gt;0),IF(100*8686/(F71-0)&lt;0.005,"*",100*8686/(F71-0)),0)</f>
        <v>1.0064889918887601</v>
      </c>
    </row>
    <row r="31" spans="1:7" x14ac:dyDescent="0.2">
      <c r="A31" s="11" t="s">
        <v>132</v>
      </c>
      <c r="B31" s="17">
        <v>16637</v>
      </c>
      <c r="C31" s="17">
        <v>505</v>
      </c>
      <c r="D31" s="17">
        <v>16316</v>
      </c>
      <c r="E31" s="17">
        <v>16821</v>
      </c>
      <c r="F31" s="17">
        <v>16934</v>
      </c>
      <c r="G31" s="18">
        <f>IF(AND(F71&lt;&gt;0,16934&lt;&gt;0),IF(100*16934/(F71-0)&lt;0.005,"*",100*16934/(F71-0)),0)</f>
        <v>1.9622247972190034</v>
      </c>
    </row>
    <row r="32" spans="1:7" x14ac:dyDescent="0.2">
      <c r="A32" s="11" t="s">
        <v>133</v>
      </c>
      <c r="B32" s="17">
        <v>8241</v>
      </c>
      <c r="C32" s="17">
        <v>250</v>
      </c>
      <c r="D32" s="17">
        <v>8082</v>
      </c>
      <c r="E32" s="17">
        <v>8332</v>
      </c>
      <c r="F32" s="17">
        <v>8388</v>
      </c>
      <c r="G32" s="18">
        <f>IF(AND(F71&lt;&gt;0,8388&lt;&gt;0),IF(100*8388/(F71-0)&lt;0.005,"*",100*8388/(F71-0)),0)</f>
        <v>0.97195828505214366</v>
      </c>
    </row>
    <row r="33" spans="1:7" x14ac:dyDescent="0.2">
      <c r="A33" s="11" t="s">
        <v>134</v>
      </c>
      <c r="B33" s="17">
        <v>8312</v>
      </c>
      <c r="C33" s="17">
        <v>250</v>
      </c>
      <c r="D33" s="17">
        <v>8082</v>
      </c>
      <c r="E33" s="17">
        <v>8332</v>
      </c>
      <c r="F33" s="17">
        <v>8388</v>
      </c>
      <c r="G33" s="18">
        <f>IF(AND(F71&lt;&gt;0,8388&lt;&gt;0),IF(100*8388/(F71-0)&lt;0.005,"*",100*8388/(F71-0)),0)</f>
        <v>0.97195828505214366</v>
      </c>
    </row>
    <row r="34" spans="1:7" x14ac:dyDescent="0.2">
      <c r="A34" s="11" t="s">
        <v>135</v>
      </c>
      <c r="B34" s="17">
        <v>11753</v>
      </c>
      <c r="C34" s="17">
        <v>356</v>
      </c>
      <c r="D34" s="17">
        <v>11527</v>
      </c>
      <c r="E34" s="17">
        <v>11883</v>
      </c>
      <c r="F34" s="17">
        <v>11963</v>
      </c>
      <c r="G34" s="18">
        <f>IF(AND(F71&lt;&gt;0,11963&lt;&gt;0),IF(100*11963/(F71-0)&lt;0.005,"*",100*11963/(F71-0)),0)</f>
        <v>1.3862108922363847</v>
      </c>
    </row>
    <row r="35" spans="1:7" x14ac:dyDescent="0.2">
      <c r="A35" s="11" t="s">
        <v>136</v>
      </c>
      <c r="B35" s="17">
        <v>8241</v>
      </c>
      <c r="C35" s="17">
        <v>250</v>
      </c>
      <c r="D35" s="17">
        <v>8082</v>
      </c>
      <c r="E35" s="17">
        <v>8332</v>
      </c>
      <c r="F35" s="17">
        <v>8388</v>
      </c>
      <c r="G35" s="18">
        <f>IF(AND(F71&lt;&gt;0,8388&lt;&gt;0),IF(100*8388/(F71-0)&lt;0.005,"*",100*8388/(F71-0)),0)</f>
        <v>0.97195828505214366</v>
      </c>
    </row>
    <row r="36" spans="1:7" x14ac:dyDescent="0.2">
      <c r="A36" s="11" t="s">
        <v>137</v>
      </c>
      <c r="B36" s="17">
        <v>15680</v>
      </c>
      <c r="C36" s="17">
        <v>476</v>
      </c>
      <c r="D36" s="17">
        <v>15377</v>
      </c>
      <c r="E36" s="17">
        <v>15853</v>
      </c>
      <c r="F36" s="17">
        <v>15960</v>
      </c>
      <c r="G36" s="18">
        <f>IF(AND(F71&lt;&gt;0,15960&lt;&gt;0),IF(100*15960/(F71-0)&lt;0.005,"*",100*15960/(F71-0)),0)</f>
        <v>1.8493626882966396</v>
      </c>
    </row>
    <row r="37" spans="1:7" x14ac:dyDescent="0.2">
      <c r="A37" s="11" t="s">
        <v>138</v>
      </c>
      <c r="B37" s="17">
        <v>9300</v>
      </c>
      <c r="C37" s="17">
        <v>250</v>
      </c>
      <c r="D37" s="17">
        <v>8082</v>
      </c>
      <c r="E37" s="17">
        <v>8332</v>
      </c>
      <c r="F37" s="17">
        <v>8388</v>
      </c>
      <c r="G37" s="18">
        <f>IF(AND(F71&lt;&gt;0,8388&lt;&gt;0),IF(100*8388/(F71-0)&lt;0.005,"*",100*8388/(F71-0)),0)</f>
        <v>0.97195828505214366</v>
      </c>
    </row>
    <row r="38" spans="1:7" x14ac:dyDescent="0.2">
      <c r="A38" s="11" t="s">
        <v>139</v>
      </c>
      <c r="B38" s="17">
        <v>39558</v>
      </c>
      <c r="C38" s="17">
        <v>1200</v>
      </c>
      <c r="D38" s="17">
        <v>38795</v>
      </c>
      <c r="E38" s="17">
        <v>39995</v>
      </c>
      <c r="F38" s="17">
        <v>40265</v>
      </c>
      <c r="G38" s="18">
        <f>IF(AND(F71&lt;&gt;0,40265&lt;&gt;0),IF(100*40265/(F71-0)&lt;0.005,"*",100*40265/(F71-0)),0)</f>
        <v>4.665701042873696</v>
      </c>
    </row>
    <row r="39" spans="1:7" x14ac:dyDescent="0.2">
      <c r="A39" s="11" t="s">
        <v>140</v>
      </c>
      <c r="B39" s="17">
        <v>19283</v>
      </c>
      <c r="C39" s="17">
        <v>585</v>
      </c>
      <c r="D39" s="17">
        <v>18910</v>
      </c>
      <c r="E39" s="17">
        <v>19495</v>
      </c>
      <c r="F39" s="17">
        <v>19627</v>
      </c>
      <c r="G39" s="18">
        <f>IF(AND(F71&lt;&gt;0,19627&lt;&gt;0),IF(100*19627/(F71-0)&lt;0.005,"*",100*19627/(F71-0)),0)</f>
        <v>2.2742757821552724</v>
      </c>
    </row>
    <row r="40" spans="1:7" x14ac:dyDescent="0.2">
      <c r="A40" s="11" t="s">
        <v>141</v>
      </c>
      <c r="B40" s="17">
        <v>8241</v>
      </c>
      <c r="C40" s="17">
        <v>250</v>
      </c>
      <c r="D40" s="17">
        <v>8082</v>
      </c>
      <c r="E40" s="17">
        <v>8332</v>
      </c>
      <c r="F40" s="17">
        <v>8388</v>
      </c>
      <c r="G40" s="18">
        <f>IF(AND(F71&lt;&gt;0,8388&lt;&gt;0),IF(100*8388/(F71-0)&lt;0.005,"*",100*8388/(F71-0)),0)</f>
        <v>0.97195828505214366</v>
      </c>
    </row>
    <row r="41" spans="1:7" x14ac:dyDescent="0.2">
      <c r="A41" s="11" t="s">
        <v>142</v>
      </c>
      <c r="B41" s="17">
        <v>22929</v>
      </c>
      <c r="C41" s="17">
        <v>695</v>
      </c>
      <c r="D41" s="17">
        <v>22467</v>
      </c>
      <c r="E41" s="17">
        <v>23162</v>
      </c>
      <c r="F41" s="17">
        <v>23318</v>
      </c>
      <c r="G41" s="18">
        <f>IF(AND(F71&lt;&gt;0,23318&lt;&gt;0),IF(100*23318/(F71-0)&lt;0.005,"*",100*23318/(F71-0)),0)</f>
        <v>2.7019698725376595</v>
      </c>
    </row>
    <row r="42" spans="1:7" x14ac:dyDescent="0.2">
      <c r="A42" s="11" t="s">
        <v>143</v>
      </c>
      <c r="B42" s="17">
        <v>13751</v>
      </c>
      <c r="C42" s="17">
        <v>403</v>
      </c>
      <c r="D42" s="17">
        <v>13022</v>
      </c>
      <c r="E42" s="17">
        <v>13425</v>
      </c>
      <c r="F42" s="17">
        <v>13516</v>
      </c>
      <c r="G42" s="18">
        <f>IF(AND(F71&lt;&gt;0,13516&lt;&gt;0),IF(100*13516/(F71-0)&lt;0.005,"*",100*13516/(F71-0)),0)</f>
        <v>1.5661645422943222</v>
      </c>
    </row>
    <row r="43" spans="1:7" x14ac:dyDescent="0.2">
      <c r="A43" s="11" t="s">
        <v>144</v>
      </c>
      <c r="B43" s="17">
        <v>11705</v>
      </c>
      <c r="C43" s="17">
        <v>355</v>
      </c>
      <c r="D43" s="17">
        <v>11480</v>
      </c>
      <c r="E43" s="17">
        <v>11835</v>
      </c>
      <c r="F43" s="17">
        <v>11914</v>
      </c>
      <c r="G43" s="18">
        <f>IF(AND(F71&lt;&gt;0,11914&lt;&gt;0),IF(100*11914/(F71-0)&lt;0.005,"*",100*11914/(F71-0)),0)</f>
        <v>1.3805330243337195</v>
      </c>
    </row>
    <row r="44" spans="1:7" x14ac:dyDescent="0.2">
      <c r="A44" s="11" t="s">
        <v>145</v>
      </c>
      <c r="B44" s="17">
        <v>26351</v>
      </c>
      <c r="C44" s="17">
        <v>799</v>
      </c>
      <c r="D44" s="17">
        <v>25843</v>
      </c>
      <c r="E44" s="17">
        <v>26642</v>
      </c>
      <c r="F44" s="17">
        <v>26821</v>
      </c>
      <c r="G44" s="18">
        <f>IF(AND(F71&lt;&gt;0,26821&lt;&gt;0),IF(100*26821/(F71-0)&lt;0.005,"*",100*26821/(F71-0)),0)</f>
        <v>3.1078794901506375</v>
      </c>
    </row>
    <row r="45" spans="1:7" x14ac:dyDescent="0.2">
      <c r="A45" s="11" t="s">
        <v>146</v>
      </c>
      <c r="B45" s="17">
        <v>8241</v>
      </c>
      <c r="C45" s="17">
        <v>250</v>
      </c>
      <c r="D45" s="17">
        <v>8082</v>
      </c>
      <c r="E45" s="17">
        <v>8332</v>
      </c>
      <c r="F45" s="17">
        <v>8388</v>
      </c>
      <c r="G45" s="18">
        <f>IF(AND(F71&lt;&gt;0,8388&lt;&gt;0),IF(100*8388/(F71-0)&lt;0.005,"*",100*8388/(F71-0)),0)</f>
        <v>0.97195828505214366</v>
      </c>
    </row>
    <row r="46" spans="1:7" x14ac:dyDescent="0.2">
      <c r="A46" s="11" t="s">
        <v>147</v>
      </c>
      <c r="B46" s="17">
        <v>8241</v>
      </c>
      <c r="C46" s="17">
        <v>250</v>
      </c>
      <c r="D46" s="17">
        <v>8082</v>
      </c>
      <c r="E46" s="17">
        <v>8332</v>
      </c>
      <c r="F46" s="17">
        <v>8388</v>
      </c>
      <c r="G46" s="18">
        <f>IF(AND(F71&lt;&gt;0,8388&lt;&gt;0),IF(100*8388/(F71-0)&lt;0.005,"*",100*8388/(F71-0)),0)</f>
        <v>0.97195828505214366</v>
      </c>
    </row>
    <row r="47" spans="1:7" x14ac:dyDescent="0.2">
      <c r="A47" s="11" t="s">
        <v>148</v>
      </c>
      <c r="B47" s="17">
        <v>8241</v>
      </c>
      <c r="C47" s="17">
        <v>250</v>
      </c>
      <c r="D47" s="17">
        <v>8082</v>
      </c>
      <c r="E47" s="17">
        <v>8332</v>
      </c>
      <c r="F47" s="17">
        <v>8388</v>
      </c>
      <c r="G47" s="18">
        <f>IF(AND(F71&lt;&gt;0,8388&lt;&gt;0),IF(100*8388/(F71-0)&lt;0.005,"*",100*8388/(F71-0)),0)</f>
        <v>0.97195828505214366</v>
      </c>
    </row>
    <row r="48" spans="1:7" x14ac:dyDescent="0.2">
      <c r="A48" s="11" t="s">
        <v>149</v>
      </c>
      <c r="B48" s="17">
        <v>8241</v>
      </c>
      <c r="C48" s="17">
        <v>250</v>
      </c>
      <c r="D48" s="17">
        <v>8082</v>
      </c>
      <c r="E48" s="17">
        <v>8332</v>
      </c>
      <c r="F48" s="17">
        <v>8388</v>
      </c>
      <c r="G48" s="18">
        <f>IF(AND(F71&lt;&gt;0,8388&lt;&gt;0),IF(100*8388/(F71-0)&lt;0.005,"*",100*8388/(F71-0)),0)</f>
        <v>0.97195828505214366</v>
      </c>
    </row>
    <row r="49" spans="1:7" x14ac:dyDescent="0.2">
      <c r="A49" s="11" t="s">
        <v>150</v>
      </c>
      <c r="B49" s="17">
        <v>59590</v>
      </c>
      <c r="C49" s="17">
        <v>1807</v>
      </c>
      <c r="D49" s="17">
        <v>58440</v>
      </c>
      <c r="E49" s="17">
        <v>60247</v>
      </c>
      <c r="F49" s="17">
        <v>60654</v>
      </c>
      <c r="G49" s="18">
        <f>IF(AND(F71&lt;&gt;0,60654&lt;&gt;0),IF(100*60654/(F71-0)&lt;0.005,"*",100*60654/(F71-0)),0)</f>
        <v>7.0282734646581693</v>
      </c>
    </row>
    <row r="50" spans="1:7" x14ac:dyDescent="0.2">
      <c r="A50" s="11" t="s">
        <v>151</v>
      </c>
      <c r="B50" s="17">
        <v>8600</v>
      </c>
      <c r="C50" s="17">
        <v>261</v>
      </c>
      <c r="D50" s="17">
        <v>8433</v>
      </c>
      <c r="E50" s="17">
        <v>8694</v>
      </c>
      <c r="F50" s="17">
        <v>8753</v>
      </c>
      <c r="G50" s="18">
        <f>IF(AND(F71&lt;&gt;0,8753&lt;&gt;0),IF(100*8753/(F71-0)&lt;0.005,"*",100*8753/(F71-0)),0)</f>
        <v>1.014252607184241</v>
      </c>
    </row>
    <row r="51" spans="1:7" x14ac:dyDescent="0.2">
      <c r="A51" s="11" t="s">
        <v>152</v>
      </c>
      <c r="B51" s="17">
        <v>8241</v>
      </c>
      <c r="C51" s="17">
        <v>250</v>
      </c>
      <c r="D51" s="17">
        <v>8082</v>
      </c>
      <c r="E51" s="17">
        <v>8332</v>
      </c>
      <c r="F51" s="17">
        <v>8388</v>
      </c>
      <c r="G51" s="18">
        <f>IF(AND(F71&lt;&gt;0,8388&lt;&gt;0),IF(100*8388/(F71-0)&lt;0.005,"*",100*8388/(F71-0)),0)</f>
        <v>0.97195828505214366</v>
      </c>
    </row>
    <row r="52" spans="1:7" x14ac:dyDescent="0.2">
      <c r="A52" s="11" t="s">
        <v>153</v>
      </c>
      <c r="B52" s="17">
        <v>13658</v>
      </c>
      <c r="C52" s="17">
        <v>414</v>
      </c>
      <c r="D52" s="17">
        <v>13390</v>
      </c>
      <c r="E52" s="17">
        <v>13804</v>
      </c>
      <c r="F52" s="17">
        <v>13897</v>
      </c>
      <c r="G52" s="18">
        <f>IF(AND(F71&lt;&gt;0,13897&lt;&gt;0),IF(100*13897/(F71-0)&lt;0.005,"*",100*13897/(F71-0)),0)</f>
        <v>1.6103128621089224</v>
      </c>
    </row>
    <row r="53" spans="1:7" x14ac:dyDescent="0.2">
      <c r="A53" s="11" t="s">
        <v>154</v>
      </c>
      <c r="B53" s="17">
        <v>18394</v>
      </c>
      <c r="C53" s="17">
        <v>558</v>
      </c>
      <c r="D53" s="17">
        <v>18039</v>
      </c>
      <c r="E53" s="17">
        <v>18597</v>
      </c>
      <c r="F53" s="17">
        <v>18722</v>
      </c>
      <c r="G53" s="18">
        <f>IF(AND(F71&lt;&gt;0,18722&lt;&gt;0),IF(100*18722/(F71-0)&lt;0.005,"*",100*18722/(F71-0)),0)</f>
        <v>2.1694090382387023</v>
      </c>
    </row>
    <row r="54" spans="1:7" x14ac:dyDescent="0.2">
      <c r="A54" s="11" t="s">
        <v>155</v>
      </c>
      <c r="B54" s="17">
        <v>8241</v>
      </c>
      <c r="C54" s="17">
        <v>250</v>
      </c>
      <c r="D54" s="17">
        <v>8082</v>
      </c>
      <c r="E54" s="17">
        <v>8332</v>
      </c>
      <c r="F54" s="17">
        <v>8388</v>
      </c>
      <c r="G54" s="18">
        <f>IF(AND(F71&lt;&gt;0,8388&lt;&gt;0),IF(100*8388/(F71-0)&lt;0.005,"*",100*8388/(F71-0)),0)</f>
        <v>0.97195828505214366</v>
      </c>
    </row>
    <row r="55" spans="1:7" x14ac:dyDescent="0.2">
      <c r="A55" s="11" t="s">
        <v>156</v>
      </c>
      <c r="B55" s="17">
        <v>14372</v>
      </c>
      <c r="C55" s="17">
        <v>436</v>
      </c>
      <c r="D55" s="17">
        <v>14095</v>
      </c>
      <c r="E55" s="17">
        <v>14531</v>
      </c>
      <c r="F55" s="17">
        <v>14629</v>
      </c>
      <c r="G55" s="18">
        <f>IF(AND(F71&lt;&gt;0,14629&lt;&gt;0),IF(100*14629/(F71-0)&lt;0.005,"*",100*14629/(F71-0)),0)</f>
        <v>1.6951332560834298</v>
      </c>
    </row>
    <row r="56" spans="1:7" x14ac:dyDescent="0.2">
      <c r="A56" s="11" t="s">
        <v>157</v>
      </c>
      <c r="B56" s="17">
        <v>8241</v>
      </c>
      <c r="C56" s="17">
        <v>250</v>
      </c>
      <c r="D56" s="17">
        <v>8082</v>
      </c>
      <c r="E56" s="17">
        <v>8332</v>
      </c>
      <c r="F56" s="17">
        <v>8388</v>
      </c>
      <c r="G56" s="18">
        <f>IF(AND(F71&lt;&gt;0,8388&lt;&gt;0),IF(100*8388/(F71-0)&lt;0.005,"*",100*8388/(F71-0)),0)</f>
        <v>0.97195828505214366</v>
      </c>
    </row>
    <row r="57" spans="1:7" x14ac:dyDescent="0.2">
      <c r="A57" s="11" t="s">
        <v>158</v>
      </c>
      <c r="B57" s="17">
        <v>1426</v>
      </c>
      <c r="C57" s="17">
        <v>43</v>
      </c>
      <c r="D57" s="17">
        <v>1399</v>
      </c>
      <c r="E57" s="17">
        <v>1442</v>
      </c>
      <c r="F57" s="17">
        <v>1451</v>
      </c>
      <c r="G57" s="18">
        <f>IF(AND(F71&lt;&gt;0,1451&lt;&gt;0),IF(100*1451/(F71-0)&lt;0.005,"*",100*1451/(F71-0)),0)</f>
        <v>0.16813441483198147</v>
      </c>
    </row>
    <row r="58" spans="1:7" x14ac:dyDescent="0.2">
      <c r="A58" s="11" t="s">
        <v>159</v>
      </c>
      <c r="B58" s="17">
        <v>3671</v>
      </c>
      <c r="C58" s="17">
        <v>111</v>
      </c>
      <c r="D58" s="17">
        <v>3601</v>
      </c>
      <c r="E58" s="17">
        <v>3712</v>
      </c>
      <c r="F58" s="17">
        <v>3737</v>
      </c>
      <c r="G58" s="18">
        <f>IF(AND(F71&lt;&gt;0,3737&lt;&gt;0),IF(100*3737/(F71-0)&lt;0.005,"*",100*3737/(F71-0)),0)</f>
        <v>0.43302433371958288</v>
      </c>
    </row>
    <row r="59" spans="1:7" x14ac:dyDescent="0.2">
      <c r="A59" s="11" t="s">
        <v>160</v>
      </c>
      <c r="B59" s="17">
        <v>3181</v>
      </c>
      <c r="C59" s="17">
        <v>96</v>
      </c>
      <c r="D59" s="17">
        <v>3120</v>
      </c>
      <c r="E59" s="17">
        <v>3216</v>
      </c>
      <c r="F59" s="17">
        <v>3237</v>
      </c>
      <c r="G59" s="18">
        <f>IF(AND(F71&lt;&gt;0,3237&lt;&gt;0),IF(100*3237/(F71-0)&lt;0.005,"*",100*3237/(F71-0)),0)</f>
        <v>0.3750869061413673</v>
      </c>
    </row>
    <row r="60" spans="1:7" x14ac:dyDescent="0.2">
      <c r="A60" s="11" t="s">
        <v>161</v>
      </c>
      <c r="B60" s="17">
        <v>8412</v>
      </c>
      <c r="C60" s="17">
        <v>250</v>
      </c>
      <c r="D60" s="17">
        <v>8082</v>
      </c>
      <c r="E60" s="17">
        <v>8332</v>
      </c>
      <c r="F60" s="17">
        <v>8388</v>
      </c>
      <c r="G60" s="18">
        <f>IF(AND(F71&lt;&gt;0,8388&lt;&gt;0),IF(100*8388/(F71-0)&lt;0.005,"*",100*8388/(F71-0)),0)</f>
        <v>0.97195828505214366</v>
      </c>
    </row>
    <row r="61" spans="1:7" x14ac:dyDescent="0.2">
      <c r="A61" s="11" t="s">
        <v>162</v>
      </c>
      <c r="B61" s="17">
        <v>0</v>
      </c>
      <c r="C61" s="17">
        <v>0</v>
      </c>
      <c r="D61" s="17">
        <v>0</v>
      </c>
      <c r="E61" s="17">
        <v>0</v>
      </c>
      <c r="F61" s="17">
        <v>0</v>
      </c>
      <c r="G61" s="18">
        <f>IF(AND(F71&lt;&gt;0,0&lt;&gt;0),IF(100*0/(F71-0)&lt;0.005,"*",100*0/(F71-0)),0)</f>
        <v>0</v>
      </c>
    </row>
    <row r="62" spans="1:7" x14ac:dyDescent="0.2">
      <c r="A62" s="11" t="s">
        <v>163</v>
      </c>
      <c r="B62" s="17">
        <v>0</v>
      </c>
      <c r="C62" s="17">
        <v>124</v>
      </c>
      <c r="D62" s="17">
        <v>4004</v>
      </c>
      <c r="E62" s="17">
        <v>4128</v>
      </c>
      <c r="F62" s="17">
        <v>4158</v>
      </c>
      <c r="G62" s="18">
        <f>IF(AND(F71&lt;&gt;0,4158&lt;&gt;0),IF(100*4158/(F71-0)&lt;0.005,"*",100*4158/(F71-0)),0)</f>
        <v>0.48180764774044033</v>
      </c>
    </row>
    <row r="63" spans="1:7" x14ac:dyDescent="0.2">
      <c r="A63" s="11" t="s">
        <v>164</v>
      </c>
      <c r="B63" s="17">
        <v>8171</v>
      </c>
      <c r="C63" s="17">
        <v>600</v>
      </c>
      <c r="D63" s="17">
        <v>19400</v>
      </c>
      <c r="E63" s="17">
        <v>20000</v>
      </c>
      <c r="F63" s="17">
        <v>20000</v>
      </c>
      <c r="G63" s="18">
        <f>IF(AND(F71&lt;&gt;0,20000&lt;&gt;0),IF(100*20000/(F71-0)&lt;0.005,"*",100*20000/(F71-0)),0)</f>
        <v>2.3174971031286211</v>
      </c>
    </row>
    <row r="64" spans="1:7" x14ac:dyDescent="0.2">
      <c r="A64" s="11" t="s">
        <v>165</v>
      </c>
      <c r="B64" s="17">
        <v>0</v>
      </c>
      <c r="C64" s="17">
        <v>0</v>
      </c>
      <c r="D64" s="17">
        <v>0</v>
      </c>
      <c r="E64" s="17">
        <v>0</v>
      </c>
      <c r="F64" s="17">
        <v>0</v>
      </c>
      <c r="G64" s="18">
        <v>0</v>
      </c>
    </row>
    <row r="65" spans="1:7" ht="25.5" x14ac:dyDescent="0.2">
      <c r="A65" s="11" t="s">
        <v>386</v>
      </c>
      <c r="B65" s="23" t="s">
        <v>391</v>
      </c>
      <c r="C65" s="17">
        <v>64</v>
      </c>
      <c r="D65" s="17">
        <v>2079</v>
      </c>
      <c r="E65" s="17">
        <v>2143</v>
      </c>
      <c r="F65" s="17">
        <v>2158</v>
      </c>
      <c r="G65" s="18">
        <f>IF(AND(F71&lt;&gt;0,2158&lt;&gt;0),IF(100*2158/(F71-0)&lt;0.005,"*",100*2158/(F71-0)),0)</f>
        <v>0.2500579374275782</v>
      </c>
    </row>
    <row r="66" spans="1:7" ht="15" x14ac:dyDescent="0.2">
      <c r="A66" s="11" t="s">
        <v>392</v>
      </c>
      <c r="B66" s="23" t="s">
        <v>393</v>
      </c>
      <c r="C66" s="17">
        <v>0</v>
      </c>
      <c r="D66" s="17">
        <v>0</v>
      </c>
      <c r="E66" s="17">
        <v>0</v>
      </c>
      <c r="F66" s="17">
        <v>0</v>
      </c>
      <c r="G66" s="18">
        <f>IF(AND(F71&lt;&gt;0,0&lt;&gt;0),IF(100*0/(F71-0)&lt;0.005,"*",100*0/(F71-0)),0)</f>
        <v>0</v>
      </c>
    </row>
    <row r="67" spans="1:7" ht="15" x14ac:dyDescent="0.2">
      <c r="A67" s="11" t="s">
        <v>394</v>
      </c>
      <c r="B67" s="23" t="s">
        <v>395</v>
      </c>
      <c r="C67" s="17">
        <v>0</v>
      </c>
      <c r="D67" s="17">
        <v>0</v>
      </c>
      <c r="E67" s="17">
        <v>0</v>
      </c>
      <c r="F67" s="17">
        <v>0</v>
      </c>
      <c r="G67" s="18">
        <f>IF(AND(F71&lt;&gt;0,0&lt;&gt;0),IF(100*0/(F71-0)&lt;0.005,"*",100*0/(F71-0)),0)</f>
        <v>0</v>
      </c>
    </row>
    <row r="68" spans="1:7" ht="15" x14ac:dyDescent="0.2">
      <c r="A68" s="11" t="s">
        <v>396</v>
      </c>
      <c r="B68" s="23" t="s">
        <v>397</v>
      </c>
      <c r="C68" s="17">
        <v>60</v>
      </c>
      <c r="D68" s="17">
        <v>1940</v>
      </c>
      <c r="E68" s="17">
        <v>2000</v>
      </c>
      <c r="F68" s="17">
        <v>2000</v>
      </c>
      <c r="G68" s="18">
        <f>IF(AND(F71&lt;&gt;0,2000&lt;&gt;0),IF(100*2000/(F71-0)&lt;0.005,"*",100*2000/(F71-0)),0)</f>
        <v>0.23174971031286212</v>
      </c>
    </row>
    <row r="69" spans="1:7" ht="25.5" x14ac:dyDescent="0.2">
      <c r="A69" s="11" t="s">
        <v>384</v>
      </c>
      <c r="B69" s="23" t="s">
        <v>398</v>
      </c>
      <c r="C69" s="17">
        <v>0</v>
      </c>
      <c r="D69" s="17">
        <v>0</v>
      </c>
      <c r="E69" s="17">
        <v>0</v>
      </c>
      <c r="F69" s="17">
        <v>0</v>
      </c>
      <c r="G69" s="18">
        <f>IF(AND(F71&lt;&gt;0,0&lt;&gt;0),IF(100*0/(F71-0)&lt;0.005,"*",100*0/(F71-0)),0)</f>
        <v>0</v>
      </c>
    </row>
    <row r="70" spans="1:7" ht="15" x14ac:dyDescent="0.2">
      <c r="A70" s="11" t="s">
        <v>399</v>
      </c>
      <c r="B70" s="23" t="s">
        <v>400</v>
      </c>
      <c r="C70" s="17">
        <v>0</v>
      </c>
      <c r="D70" s="17">
        <v>0</v>
      </c>
      <c r="E70" s="17">
        <v>0</v>
      </c>
      <c r="F70" s="17">
        <v>0</v>
      </c>
      <c r="G70" s="18">
        <f>IF(AND(F71&lt;&gt;0,0&lt;&gt;0),IF(100*0/(F71-0)&lt;0.005,"*",100*0/(F71-0)),0)</f>
        <v>0</v>
      </c>
    </row>
    <row r="71" spans="1:7" ht="15" customHeight="1" x14ac:dyDescent="0.2">
      <c r="A71" s="19" t="s">
        <v>106</v>
      </c>
      <c r="B71" s="20">
        <f>15740+8241+20006+12610+79255+14344+8351+8241+8241+30143+17968+8316+8241+34488+13368+12326+9167+12830+12751+8241+13987+15319+25662+14747+8534+16637+8241+8312+11753+8241+15680+9300+39558+19283+8241+22929+13751+11705+26351+8241+8241+8241+8241+59590+8600+8241+13658+18394+8241+14372+8241+1426+3671+3181+8412+0+0+8171+0+1560+225+50+536+3760+100000+0</f>
        <v>944392</v>
      </c>
      <c r="C71" s="20">
        <f>477+250+451+382+2352+435+253+250+250+914+545+250+250+1043+405+374+285+389+343+250+424+465+778+447+259+505+250+250+356+250+476+250+1200+585+250+695+403+355+799+250+250+250+250+1807+261+250+414+558+250+436+250+43+111+96+250+0+124+600+0+64+0+0+60+0+0+0</f>
        <v>25719</v>
      </c>
      <c r="D71" s="20">
        <f>15436+8082+14592+12367+76048+14067+8190+8082+8082+29562+17622+8082+8082+33729+13111+12088+9211+12583+11081+8082+13718+15023+25157+14463+8369+16316+8082+8082+11527+8082+15377+8082+38795+18910+8082+22467+13022+11480+25843+8082+8082+8082+8082+58440+8433+8082+13390+18039+8082+14095+8082+1399+3601+3120+8082+0+4004+19400+0+2079+0+0+1940+0+0+0</f>
        <v>831652</v>
      </c>
      <c r="E71" s="20">
        <f>SUM(C71:D71)</f>
        <v>857371</v>
      </c>
      <c r="F71" s="20">
        <f>16021+8388+15145+12835+78926+14600+8500+8388+8388+30681+18289+8388+8388+35007+13607+12546+9560+13059+11501+8388+14237+15593+26110+15011+8686+16934+8388+8388+11963+8388+15960+8388+40265+19627+8388+23318+13516+11914+26821+8388+8388+8388+8388+60654+8753+8388+13897+18722+8388+14629+8388+1451+3737+3237+8388+0+4158+20000+0+2158+0+0+2000+0+0+0</f>
        <v>863000</v>
      </c>
      <c r="G71" s="21" t="s">
        <v>401</v>
      </c>
    </row>
    <row r="72" spans="1:7" ht="36" customHeight="1" x14ac:dyDescent="0.2">
      <c r="A72" s="65" t="s">
        <v>402</v>
      </c>
      <c r="B72" s="65"/>
      <c r="C72" s="65"/>
      <c r="D72" s="65"/>
      <c r="E72" s="65"/>
      <c r="F72" s="65"/>
      <c r="G72" s="65"/>
    </row>
    <row r="73" spans="1:7" ht="31.5" customHeight="1" x14ac:dyDescent="0.2">
      <c r="A73" s="65" t="s">
        <v>403</v>
      </c>
      <c r="B73" s="65"/>
      <c r="C73" s="65"/>
      <c r="D73" s="65"/>
      <c r="E73" s="65"/>
      <c r="F73" s="65"/>
      <c r="G73" s="65"/>
    </row>
    <row r="74" spans="1:7" ht="33" customHeight="1" x14ac:dyDescent="0.2">
      <c r="A74" s="65" t="s">
        <v>404</v>
      </c>
      <c r="B74" s="65"/>
      <c r="C74" s="65"/>
      <c r="D74" s="65"/>
      <c r="E74" s="65"/>
      <c r="F74" s="65"/>
      <c r="G74" s="65"/>
    </row>
    <row r="75" spans="1:7" ht="44.25" customHeight="1" x14ac:dyDescent="0.2">
      <c r="A75" s="65" t="s">
        <v>457</v>
      </c>
      <c r="B75" s="65"/>
      <c r="C75" s="65"/>
      <c r="D75" s="65"/>
      <c r="E75" s="65"/>
      <c r="F75" s="65"/>
      <c r="G75" s="65"/>
    </row>
    <row r="76" spans="1:7" ht="45" customHeight="1" x14ac:dyDescent="0.2">
      <c r="A76" s="65" t="s">
        <v>405</v>
      </c>
      <c r="B76" s="65"/>
      <c r="C76" s="65"/>
      <c r="D76" s="65"/>
      <c r="E76" s="65"/>
      <c r="F76" s="65"/>
      <c r="G76" s="65"/>
    </row>
    <row r="77" spans="1:7" ht="36" customHeight="1" x14ac:dyDescent="0.2">
      <c r="A77" s="65" t="s">
        <v>406</v>
      </c>
      <c r="B77" s="65"/>
      <c r="C77" s="65"/>
      <c r="D77" s="65"/>
      <c r="E77" s="65"/>
      <c r="F77" s="65"/>
      <c r="G77" s="65"/>
    </row>
    <row r="78" spans="1:7" ht="15" customHeight="1" x14ac:dyDescent="0.2">
      <c r="A78" s="65" t="s">
        <v>407</v>
      </c>
      <c r="B78" s="65"/>
      <c r="C78" s="65"/>
      <c r="D78" s="65"/>
      <c r="E78" s="65"/>
      <c r="F78" s="65"/>
      <c r="G78" s="65"/>
    </row>
  </sheetData>
  <mergeCells count="11">
    <mergeCell ref="A78:G78"/>
    <mergeCell ref="A4:A5"/>
    <mergeCell ref="B4:B5"/>
    <mergeCell ref="F4:F5"/>
    <mergeCell ref="G4:G5"/>
    <mergeCell ref="A72:G72"/>
    <mergeCell ref="A73:G73"/>
    <mergeCell ref="A74:G74"/>
    <mergeCell ref="A75:G75"/>
    <mergeCell ref="A76:G76"/>
    <mergeCell ref="A77:G77"/>
  </mergeCells>
  <pageMargins left="0.7" right="0.7" top="0.75" bottom="0.75" header="0.3" footer="0.3"/>
  <pageSetup scale="5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93</v>
      </c>
      <c r="B1" s="10"/>
      <c r="C1" s="10"/>
      <c r="D1" s="10"/>
      <c r="E1" s="10"/>
      <c r="F1" s="10"/>
      <c r="G1" s="12" t="s">
        <v>408</v>
      </c>
    </row>
    <row r="2" spans="1:7" x14ac:dyDescent="0.2">
      <c r="A2" s="13" t="s">
        <v>458</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39536</v>
      </c>
      <c r="C6" s="17">
        <v>0</v>
      </c>
      <c r="D6" s="17">
        <v>42699</v>
      </c>
      <c r="E6" s="17">
        <v>42699</v>
      </c>
      <c r="F6" s="17">
        <v>40564</v>
      </c>
      <c r="G6" s="18">
        <f>IF(AND(F65&lt;&gt;0,40564&lt;&gt;0),IF(100*40564/(F65-0)&lt;0.005,"*",100*40564/(F65-0)),0)</f>
        <v>1.8598961385284243</v>
      </c>
    </row>
    <row r="7" spans="1:7" x14ac:dyDescent="0.2">
      <c r="A7" s="11" t="s">
        <v>108</v>
      </c>
      <c r="B7" s="17">
        <v>36566</v>
      </c>
      <c r="C7" s="17">
        <v>0</v>
      </c>
      <c r="D7" s="17">
        <v>39491</v>
      </c>
      <c r="E7" s="17">
        <v>39491</v>
      </c>
      <c r="F7" s="17">
        <v>37516</v>
      </c>
      <c r="G7" s="18">
        <f>IF(AND(F65&lt;&gt;0,37516&lt;&gt;0),IF(100*37516/(F65-0)&lt;0.005,"*",100*37516/(F65-0)),0)</f>
        <v>1.7201425779763428</v>
      </c>
    </row>
    <row r="8" spans="1:7" x14ac:dyDescent="0.2">
      <c r="A8" s="11" t="s">
        <v>109</v>
      </c>
      <c r="B8" s="17">
        <v>48314</v>
      </c>
      <c r="C8" s="17">
        <v>0</v>
      </c>
      <c r="D8" s="17">
        <v>52180</v>
      </c>
      <c r="E8" s="17">
        <v>52180</v>
      </c>
      <c r="F8" s="17">
        <v>49571</v>
      </c>
      <c r="G8" s="18">
        <f>IF(AND(F65&lt;&gt;0,49571&lt;&gt;0),IF(100*49571/(F65-0)&lt;0.005,"*",100*49571/(F65-0)),0)</f>
        <v>2.2728752461047361</v>
      </c>
    </row>
    <row r="9" spans="1:7" x14ac:dyDescent="0.2">
      <c r="A9" s="11" t="s">
        <v>110</v>
      </c>
      <c r="B9" s="17">
        <v>23427</v>
      </c>
      <c r="C9" s="17">
        <v>0</v>
      </c>
      <c r="D9" s="17">
        <v>25301</v>
      </c>
      <c r="E9" s="17">
        <v>25301</v>
      </c>
      <c r="F9" s="17">
        <v>24036</v>
      </c>
      <c r="G9" s="18">
        <f>IF(AND(F65&lt;&gt;0,24036&lt;&gt;0),IF(100*24036/(F65-0)&lt;0.005,"*",100*24036/(F65-0)),0)</f>
        <v>1.1020723692355094</v>
      </c>
    </row>
    <row r="10" spans="1:7" x14ac:dyDescent="0.2">
      <c r="A10" s="11" t="s">
        <v>111</v>
      </c>
      <c r="B10" s="17">
        <v>277753</v>
      </c>
      <c r="C10" s="17">
        <v>0</v>
      </c>
      <c r="D10" s="17">
        <v>299973</v>
      </c>
      <c r="E10" s="17">
        <v>299973</v>
      </c>
      <c r="F10" s="17">
        <v>284975</v>
      </c>
      <c r="G10" s="18">
        <f>IF(AND(F65&lt;&gt;0,284975&lt;&gt;0),IF(100*284975/(F65-0)&lt;0.005,"*",100*284975/(F65-0)),0)</f>
        <v>13.06636184984562</v>
      </c>
    </row>
    <row r="11" spans="1:7" x14ac:dyDescent="0.2">
      <c r="A11" s="11" t="s">
        <v>112</v>
      </c>
      <c r="B11" s="17">
        <v>23102</v>
      </c>
      <c r="C11" s="17">
        <v>0</v>
      </c>
      <c r="D11" s="17">
        <v>24951</v>
      </c>
      <c r="E11" s="17">
        <v>24951</v>
      </c>
      <c r="F11" s="17">
        <v>23703</v>
      </c>
      <c r="G11" s="18">
        <f>IF(AND(F65&lt;&gt;0,23703&lt;&gt;0),IF(100*23703/(F65-0)&lt;0.005,"*",100*23703/(F65-0)),0)</f>
        <v>1.0868040176397604</v>
      </c>
    </row>
    <row r="12" spans="1:7" x14ac:dyDescent="0.2">
      <c r="A12" s="11" t="s">
        <v>113</v>
      </c>
      <c r="B12" s="17">
        <v>16061</v>
      </c>
      <c r="C12" s="17">
        <v>0</v>
      </c>
      <c r="D12" s="17">
        <v>17345</v>
      </c>
      <c r="E12" s="17">
        <v>17345</v>
      </c>
      <c r="F12" s="17">
        <v>16478</v>
      </c>
      <c r="G12" s="18">
        <f>IF(AND(F65&lt;&gt;0,16478&lt;&gt;0),IF(100*16478/(F65-0)&lt;0.005,"*",100*16478/(F65-0)),0)</f>
        <v>0.75553122400826789</v>
      </c>
    </row>
    <row r="13" spans="1:7" x14ac:dyDescent="0.2">
      <c r="A13" s="11" t="s">
        <v>114</v>
      </c>
      <c r="B13" s="17">
        <v>5634</v>
      </c>
      <c r="C13" s="17">
        <v>0</v>
      </c>
      <c r="D13" s="17">
        <v>6085</v>
      </c>
      <c r="E13" s="17">
        <v>6085</v>
      </c>
      <c r="F13" s="17">
        <v>5781</v>
      </c>
      <c r="G13" s="18">
        <f>IF(AND(F65&lt;&gt;0,5781&lt;&gt;0),IF(100*5781/(F65-0)&lt;0.005,"*",100*5781/(F65-0)),0)</f>
        <v>0.26506408581088703</v>
      </c>
    </row>
    <row r="14" spans="1:7" x14ac:dyDescent="0.2">
      <c r="A14" s="11" t="s">
        <v>115</v>
      </c>
      <c r="B14" s="17">
        <v>4897</v>
      </c>
      <c r="C14" s="17">
        <v>0</v>
      </c>
      <c r="D14" s="17">
        <v>5289</v>
      </c>
      <c r="E14" s="17">
        <v>5289</v>
      </c>
      <c r="F14" s="17">
        <v>5025</v>
      </c>
      <c r="G14" s="18">
        <f>IF(AND(F65&lt;&gt;0,5025&lt;&gt;0),IF(100*5025/(F65-0)&lt;0.005,"*",100*5025/(F65-0)),0)</f>
        <v>0.23040080110702427</v>
      </c>
    </row>
    <row r="15" spans="1:7" x14ac:dyDescent="0.2">
      <c r="A15" s="11" t="s">
        <v>116</v>
      </c>
      <c r="B15" s="17">
        <v>107087</v>
      </c>
      <c r="C15" s="17">
        <v>0</v>
      </c>
      <c r="D15" s="17">
        <v>115654</v>
      </c>
      <c r="E15" s="17">
        <v>115654</v>
      </c>
      <c r="F15" s="17">
        <v>109871</v>
      </c>
      <c r="G15" s="18">
        <f>IF(AND(F65&lt;&gt;0,109871&lt;&gt;0),IF(100*109871/(F65-0)&lt;0.005,"*",100*109871/(F65-0)),0)</f>
        <v>5.0376848593890271</v>
      </c>
    </row>
    <row r="16" spans="1:7" x14ac:dyDescent="0.2">
      <c r="A16" s="11" t="s">
        <v>117</v>
      </c>
      <c r="B16" s="17">
        <v>75506</v>
      </c>
      <c r="C16" s="17">
        <v>0</v>
      </c>
      <c r="D16" s="17">
        <v>81547</v>
      </c>
      <c r="E16" s="17">
        <v>81547</v>
      </c>
      <c r="F16" s="17">
        <v>77469</v>
      </c>
      <c r="G16" s="18">
        <f>IF(AND(F65&lt;&gt;0,77469&lt;&gt;0),IF(100*77469/(F65-0)&lt;0.005,"*",100*77469/(F65-0)),0)</f>
        <v>3.5520238131263806</v>
      </c>
    </row>
    <row r="17" spans="1:7" x14ac:dyDescent="0.2">
      <c r="A17" s="11" t="s">
        <v>118</v>
      </c>
      <c r="B17" s="17">
        <v>5699</v>
      </c>
      <c r="C17" s="17">
        <v>0</v>
      </c>
      <c r="D17" s="17">
        <v>6154</v>
      </c>
      <c r="E17" s="17">
        <v>6154</v>
      </c>
      <c r="F17" s="17">
        <v>5847</v>
      </c>
      <c r="G17" s="18">
        <f>IF(AND(F65&lt;&gt;0,5847&lt;&gt;0),IF(100*5847/(F65-0)&lt;0.005,"*",100*5847/(F65-0)),0)</f>
        <v>0.26809024558662109</v>
      </c>
    </row>
    <row r="18" spans="1:7" x14ac:dyDescent="0.2">
      <c r="A18" s="11" t="s">
        <v>119</v>
      </c>
      <c r="B18" s="17">
        <v>9536</v>
      </c>
      <c r="C18" s="17">
        <v>0</v>
      </c>
      <c r="D18" s="17">
        <v>10299</v>
      </c>
      <c r="E18" s="17">
        <v>10299</v>
      </c>
      <c r="F18" s="17">
        <v>9784</v>
      </c>
      <c r="G18" s="18">
        <f>IF(AND(F65&lt;&gt;0,9784&lt;&gt;0),IF(100*9784/(F65-0)&lt;0.005,"*",100*9784/(F65-0)),0)</f>
        <v>0.44860526129972644</v>
      </c>
    </row>
    <row r="19" spans="1:7" x14ac:dyDescent="0.2">
      <c r="A19" s="11" t="s">
        <v>120</v>
      </c>
      <c r="B19" s="17">
        <v>99761</v>
      </c>
      <c r="C19" s="17">
        <v>0</v>
      </c>
      <c r="D19" s="17">
        <v>107742</v>
      </c>
      <c r="E19" s="17">
        <v>107742</v>
      </c>
      <c r="F19" s="17">
        <v>102355</v>
      </c>
      <c r="G19" s="18">
        <f>IF(AND(F65&lt;&gt;0,102355&lt;&gt;0),IF(100*102355/(F65-0)&lt;0.005,"*",100*102355/(F65-0)),0)</f>
        <v>4.6930694522008896</v>
      </c>
    </row>
    <row r="20" spans="1:7" x14ac:dyDescent="0.2">
      <c r="A20" s="11" t="s">
        <v>121</v>
      </c>
      <c r="B20" s="17">
        <v>53771</v>
      </c>
      <c r="C20" s="17">
        <v>0</v>
      </c>
      <c r="D20" s="17">
        <v>58073</v>
      </c>
      <c r="E20" s="17">
        <v>58073</v>
      </c>
      <c r="F20" s="17">
        <v>55169</v>
      </c>
      <c r="G20" s="18">
        <f>IF(AND(F65&lt;&gt;0,55169&lt;&gt;0),IF(100*55169/(F65-0)&lt;0.005,"*",100*55169/(F65-0)),0)</f>
        <v>2.5295486161738152</v>
      </c>
    </row>
    <row r="21" spans="1:7" x14ac:dyDescent="0.2">
      <c r="A21" s="11" t="s">
        <v>122</v>
      </c>
      <c r="B21" s="17">
        <v>15210</v>
      </c>
      <c r="C21" s="17">
        <v>0</v>
      </c>
      <c r="D21" s="17">
        <v>16427</v>
      </c>
      <c r="E21" s="17">
        <v>16427</v>
      </c>
      <c r="F21" s="17">
        <v>15606</v>
      </c>
      <c r="G21" s="18">
        <f>IF(AND(F65&lt;&gt;0,15606&lt;&gt;0),IF(100*15606/(F65-0)&lt;0.005,"*",100*15606/(F65-0)),0)</f>
        <v>0.71554923424402406</v>
      </c>
    </row>
    <row r="22" spans="1:7" x14ac:dyDescent="0.2">
      <c r="A22" s="11" t="s">
        <v>123</v>
      </c>
      <c r="B22" s="17">
        <v>17762</v>
      </c>
      <c r="C22" s="17">
        <v>0</v>
      </c>
      <c r="D22" s="17">
        <v>19183</v>
      </c>
      <c r="E22" s="17">
        <v>19183</v>
      </c>
      <c r="F22" s="17">
        <v>18224</v>
      </c>
      <c r="G22" s="18">
        <f>IF(AND(F65&lt;&gt;0,18224&lt;&gt;0),IF(100*18224/(F65-0)&lt;0.005,"*",100*18224/(F65-0)),0)</f>
        <v>0.8355869053481414</v>
      </c>
    </row>
    <row r="23" spans="1:7" x14ac:dyDescent="0.2">
      <c r="A23" s="11" t="s">
        <v>124</v>
      </c>
      <c r="B23" s="17">
        <v>30080</v>
      </c>
      <c r="C23" s="17">
        <v>0</v>
      </c>
      <c r="D23" s="17">
        <v>32486</v>
      </c>
      <c r="E23" s="17">
        <v>32486</v>
      </c>
      <c r="F23" s="17">
        <v>30862</v>
      </c>
      <c r="G23" s="18">
        <f>IF(AND(F65&lt;&gt;0,30862&lt;&gt;0),IF(100*30862/(F65-0)&lt;0.005,"*",100*30862/(F65-0)),0)</f>
        <v>1.415050651495519</v>
      </c>
    </row>
    <row r="24" spans="1:7" x14ac:dyDescent="0.2">
      <c r="A24" s="11" t="s">
        <v>125</v>
      </c>
      <c r="B24" s="17">
        <v>47327</v>
      </c>
      <c r="C24" s="17">
        <v>0</v>
      </c>
      <c r="D24" s="17">
        <v>51113</v>
      </c>
      <c r="E24" s="17">
        <v>51113</v>
      </c>
      <c r="F24" s="17">
        <v>48557</v>
      </c>
      <c r="G24" s="18">
        <f>IF(AND(F65&lt;&gt;0,48557&lt;&gt;0),IF(100*48557/(F65-0)&lt;0.005,"*",100*48557/(F65-0)),0)</f>
        <v>2.2263824277320952</v>
      </c>
    </row>
    <row r="25" spans="1:7" x14ac:dyDescent="0.2">
      <c r="A25" s="11" t="s">
        <v>126</v>
      </c>
      <c r="B25" s="17">
        <v>4292</v>
      </c>
      <c r="C25" s="17">
        <v>0</v>
      </c>
      <c r="D25" s="17">
        <v>4636</v>
      </c>
      <c r="E25" s="17">
        <v>4636</v>
      </c>
      <c r="F25" s="17">
        <v>4404</v>
      </c>
      <c r="G25" s="18">
        <f>IF(AND(F65&lt;&gt;0,4404&lt;&gt;0),IF(100*4404/(F65-0)&lt;0.005,"*",100*4404/(F65-0)),0)</f>
        <v>0.20192738867170842</v>
      </c>
    </row>
    <row r="26" spans="1:7" x14ac:dyDescent="0.2">
      <c r="A26" s="11" t="s">
        <v>127</v>
      </c>
      <c r="B26" s="17">
        <v>17617</v>
      </c>
      <c r="C26" s="17">
        <v>0</v>
      </c>
      <c r="D26" s="17">
        <v>19026</v>
      </c>
      <c r="E26" s="17">
        <v>19026</v>
      </c>
      <c r="F26" s="17">
        <v>18075</v>
      </c>
      <c r="G26" s="18">
        <f>IF(AND(F65&lt;&gt;0,18075&lt;&gt;0),IF(100*18075/(F65-0)&lt;0.005,"*",100*18075/(F65-0)),0)</f>
        <v>0.8287551203998933</v>
      </c>
    </row>
    <row r="27" spans="1:7" x14ac:dyDescent="0.2">
      <c r="A27" s="11" t="s">
        <v>128</v>
      </c>
      <c r="B27" s="17">
        <v>30757</v>
      </c>
      <c r="C27" s="17">
        <v>0</v>
      </c>
      <c r="D27" s="17">
        <v>33217</v>
      </c>
      <c r="E27" s="17">
        <v>33217</v>
      </c>
      <c r="F27" s="17">
        <v>31556</v>
      </c>
      <c r="G27" s="18">
        <f>IF(AND(F65&lt;&gt;0,31556&lt;&gt;0),IF(100*31556/(F65-0)&lt;0.005,"*",100*31556/(F65-0)),0)</f>
        <v>1.4468711800464193</v>
      </c>
    </row>
    <row r="28" spans="1:7" x14ac:dyDescent="0.2">
      <c r="A28" s="11" t="s">
        <v>129</v>
      </c>
      <c r="B28" s="17">
        <v>46616</v>
      </c>
      <c r="C28" s="17">
        <v>0</v>
      </c>
      <c r="D28" s="17">
        <v>50345</v>
      </c>
      <c r="E28" s="17">
        <v>50345</v>
      </c>
      <c r="F28" s="17">
        <v>47828</v>
      </c>
      <c r="G28" s="18">
        <f>IF(AND(F65&lt;&gt;0,47828&lt;&gt;0),IF(100*47828/(F65-0)&lt;0.005,"*",100*47828/(F65-0)),0)</f>
        <v>2.1929571174819418</v>
      </c>
    </row>
    <row r="29" spans="1:7" x14ac:dyDescent="0.2">
      <c r="A29" s="11" t="s">
        <v>130</v>
      </c>
      <c r="B29" s="17">
        <v>26711</v>
      </c>
      <c r="C29" s="17">
        <v>0</v>
      </c>
      <c r="D29" s="17">
        <v>28848</v>
      </c>
      <c r="E29" s="17">
        <v>28848</v>
      </c>
      <c r="F29" s="17">
        <v>27406</v>
      </c>
      <c r="G29" s="18">
        <f>IF(AND(F65&lt;&gt;0,27406&lt;&gt;0),IF(100*27406/(F65-0)&lt;0.005,"*",100*27406/(F65-0)),0)</f>
        <v>1.2565899214207179</v>
      </c>
    </row>
    <row r="30" spans="1:7" x14ac:dyDescent="0.2">
      <c r="A30" s="11" t="s">
        <v>131</v>
      </c>
      <c r="B30" s="17">
        <v>24600</v>
      </c>
      <c r="C30" s="17">
        <v>0</v>
      </c>
      <c r="D30" s="17">
        <v>26568</v>
      </c>
      <c r="E30" s="17">
        <v>26568</v>
      </c>
      <c r="F30" s="17">
        <v>25240</v>
      </c>
      <c r="G30" s="18">
        <f>IF(AND(F65&lt;&gt;0,25240&lt;&gt;0),IF(100*25240/(F65-0)&lt;0.005,"*",100*25240/(F65-0)),0)</f>
        <v>1.1572768596898095</v>
      </c>
    </row>
    <row r="31" spans="1:7" x14ac:dyDescent="0.2">
      <c r="A31" s="11" t="s">
        <v>132</v>
      </c>
      <c r="B31" s="17">
        <v>33043</v>
      </c>
      <c r="C31" s="17">
        <v>0</v>
      </c>
      <c r="D31" s="17">
        <v>35686</v>
      </c>
      <c r="E31" s="17">
        <v>35686</v>
      </c>
      <c r="F31" s="17">
        <v>33902</v>
      </c>
      <c r="G31" s="18">
        <f>IF(AND(F65&lt;&gt;0,33902&lt;&gt;0),IF(100*33902/(F65-0)&lt;0.005,"*",100*33902/(F65-0)),0)</f>
        <v>1.5544374048020571</v>
      </c>
    </row>
    <row r="32" spans="1:7" x14ac:dyDescent="0.2">
      <c r="A32" s="11" t="s">
        <v>133</v>
      </c>
      <c r="B32" s="17">
        <v>4819</v>
      </c>
      <c r="C32" s="17">
        <v>0</v>
      </c>
      <c r="D32" s="17">
        <v>5205</v>
      </c>
      <c r="E32" s="17">
        <v>5205</v>
      </c>
      <c r="F32" s="17">
        <v>4944</v>
      </c>
      <c r="G32" s="18">
        <f>IF(AND(F65&lt;&gt;0,4944&lt;&gt;0),IF(100*4944/(F65-0)&lt;0.005,"*",100*4944/(F65-0)),0)</f>
        <v>0.2266868777458961</v>
      </c>
    </row>
    <row r="33" spans="1:7" x14ac:dyDescent="0.2">
      <c r="A33" s="11" t="s">
        <v>134</v>
      </c>
      <c r="B33" s="17">
        <v>8080</v>
      </c>
      <c r="C33" s="17">
        <v>0</v>
      </c>
      <c r="D33" s="17">
        <v>8727</v>
      </c>
      <c r="E33" s="17">
        <v>8727</v>
      </c>
      <c r="F33" s="17">
        <v>8291</v>
      </c>
      <c r="G33" s="18">
        <f>IF(AND(F65&lt;&gt;0,8291&lt;&gt;0),IF(100*8291/(F65-0)&lt;0.005,"*",100*8291/(F65-0)),0)</f>
        <v>0.3801498591001668</v>
      </c>
    </row>
    <row r="34" spans="1:7" x14ac:dyDescent="0.2">
      <c r="A34" s="11" t="s">
        <v>135</v>
      </c>
      <c r="B34" s="17">
        <v>7588</v>
      </c>
      <c r="C34" s="17">
        <v>0</v>
      </c>
      <c r="D34" s="17">
        <v>8195</v>
      </c>
      <c r="E34" s="17">
        <v>8195</v>
      </c>
      <c r="F34" s="17">
        <v>7785</v>
      </c>
      <c r="G34" s="18">
        <f>IF(AND(F65&lt;&gt;0,7785&lt;&gt;0),IF(100*7785/(F65-0)&lt;0.005,"*",100*7785/(F65-0)),0)</f>
        <v>0.35694930081953907</v>
      </c>
    </row>
    <row r="35" spans="1:7" x14ac:dyDescent="0.2">
      <c r="A35" s="11" t="s">
        <v>136</v>
      </c>
      <c r="B35" s="17">
        <v>3119</v>
      </c>
      <c r="C35" s="17">
        <v>0</v>
      </c>
      <c r="D35" s="17">
        <v>3368</v>
      </c>
      <c r="E35" s="17">
        <v>3368</v>
      </c>
      <c r="F35" s="17">
        <v>3200</v>
      </c>
      <c r="G35" s="18">
        <f>IF(AND(F65&lt;&gt;0,3200&lt;&gt;0),IF(100*3200/(F65-0)&lt;0.005,"*",100*3200/(F65-0)),0)</f>
        <v>0.1467228982174085</v>
      </c>
    </row>
    <row r="36" spans="1:7" x14ac:dyDescent="0.2">
      <c r="A36" s="11" t="s">
        <v>137</v>
      </c>
      <c r="B36" s="17">
        <v>58883</v>
      </c>
      <c r="C36" s="17">
        <v>0</v>
      </c>
      <c r="D36" s="17">
        <v>63594</v>
      </c>
      <c r="E36" s="17">
        <v>63594</v>
      </c>
      <c r="F36" s="17">
        <v>60414</v>
      </c>
      <c r="G36" s="18">
        <f>IF(AND(F65&lt;&gt;0,60414&lt;&gt;0),IF(100*60414/(F65-0)&lt;0.005,"*",100*60414/(F65-0)),0)</f>
        <v>2.7700366165332864</v>
      </c>
    </row>
    <row r="37" spans="1:7" x14ac:dyDescent="0.2">
      <c r="A37" s="11" t="s">
        <v>138</v>
      </c>
      <c r="B37" s="17">
        <v>27226</v>
      </c>
      <c r="C37" s="17">
        <v>0</v>
      </c>
      <c r="D37" s="17">
        <v>29404</v>
      </c>
      <c r="E37" s="17">
        <v>29404</v>
      </c>
      <c r="F37" s="17">
        <v>27934</v>
      </c>
      <c r="G37" s="18">
        <f>IF(AND(F65&lt;&gt;0,27934&lt;&gt;0),IF(100*27934/(F65-0)&lt;0.005,"*",100*27934/(F65-0)),0)</f>
        <v>1.2807991996265902</v>
      </c>
    </row>
    <row r="38" spans="1:7" x14ac:dyDescent="0.2">
      <c r="A38" s="11" t="s">
        <v>139</v>
      </c>
      <c r="B38" s="17">
        <v>81876</v>
      </c>
      <c r="C38" s="17">
        <v>0</v>
      </c>
      <c r="D38" s="17">
        <v>88426</v>
      </c>
      <c r="E38" s="17">
        <v>88426</v>
      </c>
      <c r="F38" s="17">
        <v>84005</v>
      </c>
      <c r="G38" s="18">
        <f>IF(AND(F65&lt;&gt;0,84005&lt;&gt;0),IF(100*84005/(F65-0)&lt;0.005,"*",100*84005/(F65-0)),0)</f>
        <v>3.8517053327354374</v>
      </c>
    </row>
    <row r="39" spans="1:7" x14ac:dyDescent="0.2">
      <c r="A39" s="11" t="s">
        <v>140</v>
      </c>
      <c r="B39" s="17">
        <v>81760</v>
      </c>
      <c r="C39" s="17">
        <v>0</v>
      </c>
      <c r="D39" s="17">
        <v>88300</v>
      </c>
      <c r="E39" s="17">
        <v>88300</v>
      </c>
      <c r="F39" s="17">
        <v>83885</v>
      </c>
      <c r="G39" s="18">
        <f>IF(AND(F65&lt;&gt;0,83885&lt;&gt;0),IF(100*83885/(F65-0)&lt;0.005,"*",100*83885/(F65-0)),0)</f>
        <v>3.8462032240522848</v>
      </c>
    </row>
    <row r="40" spans="1:7" x14ac:dyDescent="0.2">
      <c r="A40" s="11" t="s">
        <v>141</v>
      </c>
      <c r="B40" s="17">
        <v>1731</v>
      </c>
      <c r="C40" s="17">
        <v>0</v>
      </c>
      <c r="D40" s="17">
        <v>1870</v>
      </c>
      <c r="E40" s="17">
        <v>1870</v>
      </c>
      <c r="F40" s="17">
        <v>1776</v>
      </c>
      <c r="G40" s="18">
        <f>IF(AND(F65&lt;&gt;0,1776&lt;&gt;0),IF(100*1776/(F65-0)&lt;0.005,"*",100*1776/(F65-0)),0)</f>
        <v>8.1431208510661712E-2</v>
      </c>
    </row>
    <row r="41" spans="1:7" x14ac:dyDescent="0.2">
      <c r="A41" s="11" t="s">
        <v>142</v>
      </c>
      <c r="B41" s="17">
        <v>69503</v>
      </c>
      <c r="C41" s="17">
        <v>0</v>
      </c>
      <c r="D41" s="17">
        <v>75064</v>
      </c>
      <c r="E41" s="17">
        <v>75064</v>
      </c>
      <c r="F41" s="17">
        <v>71311</v>
      </c>
      <c r="G41" s="18">
        <f>IF(AND(F65&lt;&gt;0,71311&lt;&gt;0),IF(100*71311/(F65-0)&lt;0.005,"*",100*71311/(F65-0)),0)</f>
        <v>3.269673935869255</v>
      </c>
    </row>
    <row r="42" spans="1:7" x14ac:dyDescent="0.2">
      <c r="A42" s="11" t="s">
        <v>143</v>
      </c>
      <c r="B42" s="17">
        <v>40707</v>
      </c>
      <c r="C42" s="17">
        <v>0</v>
      </c>
      <c r="D42" s="17">
        <v>43964</v>
      </c>
      <c r="E42" s="17">
        <v>43964</v>
      </c>
      <c r="F42" s="17">
        <v>41765</v>
      </c>
      <c r="G42" s="18">
        <f>IF(AND(F65&lt;&gt;0,41765&lt;&gt;0),IF(100*41765/(F65-0)&lt;0.005,"*",100*41765/(F65-0)),0)</f>
        <v>1.9149630762656455</v>
      </c>
    </row>
    <row r="43" spans="1:7" x14ac:dyDescent="0.2">
      <c r="A43" s="11" t="s">
        <v>144</v>
      </c>
      <c r="B43" s="17">
        <v>17641</v>
      </c>
      <c r="C43" s="17">
        <v>0</v>
      </c>
      <c r="D43" s="17">
        <v>19053</v>
      </c>
      <c r="E43" s="17">
        <v>19053</v>
      </c>
      <c r="F43" s="17">
        <v>18100</v>
      </c>
      <c r="G43" s="18">
        <f>IF(AND(F65&lt;&gt;0,18100&lt;&gt;0),IF(100*18100/(F65-0)&lt;0.005,"*",100*18100/(F65-0)),0)</f>
        <v>0.82990139304221677</v>
      </c>
    </row>
    <row r="44" spans="1:7" x14ac:dyDescent="0.2">
      <c r="A44" s="11" t="s">
        <v>145</v>
      </c>
      <c r="B44" s="17">
        <v>61844</v>
      </c>
      <c r="C44" s="17">
        <v>0</v>
      </c>
      <c r="D44" s="17">
        <v>66792</v>
      </c>
      <c r="E44" s="17">
        <v>66792</v>
      </c>
      <c r="F44" s="17">
        <v>63452</v>
      </c>
      <c r="G44" s="18">
        <f>IF(AND(F65&lt;&gt;0,63452&lt;&gt;0),IF(100*63452/(F65-0)&lt;0.005,"*",100*63452/(F65-0)),0)</f>
        <v>2.9093316680284387</v>
      </c>
    </row>
    <row r="45" spans="1:7" x14ac:dyDescent="0.2">
      <c r="A45" s="11" t="s">
        <v>146</v>
      </c>
      <c r="B45" s="17">
        <v>4097</v>
      </c>
      <c r="C45" s="17">
        <v>0</v>
      </c>
      <c r="D45" s="17">
        <v>4425</v>
      </c>
      <c r="E45" s="17">
        <v>4425</v>
      </c>
      <c r="F45" s="17">
        <v>4203</v>
      </c>
      <c r="G45" s="18">
        <f>IF(AND(F65&lt;&gt;0,4203&lt;&gt;0),IF(100*4203/(F65-0)&lt;0.005,"*",100*4203/(F65-0)),0)</f>
        <v>0.19271135662742747</v>
      </c>
    </row>
    <row r="46" spans="1:7" x14ac:dyDescent="0.2">
      <c r="A46" s="11" t="s">
        <v>147</v>
      </c>
      <c r="B46" s="17">
        <v>32450</v>
      </c>
      <c r="C46" s="17">
        <v>0</v>
      </c>
      <c r="D46" s="17">
        <v>35046</v>
      </c>
      <c r="E46" s="17">
        <v>35046</v>
      </c>
      <c r="F46" s="17">
        <v>33294</v>
      </c>
      <c r="G46" s="18">
        <f>IF(AND(F65&lt;&gt;0,33294&lt;&gt;0),IF(100*33294/(F65-0)&lt;0.005,"*",100*33294/(F65-0)),0)</f>
        <v>1.5265600541407494</v>
      </c>
    </row>
    <row r="47" spans="1:7" x14ac:dyDescent="0.2">
      <c r="A47" s="11" t="s">
        <v>148</v>
      </c>
      <c r="B47" s="17">
        <v>3795</v>
      </c>
      <c r="C47" s="17">
        <v>0</v>
      </c>
      <c r="D47" s="17">
        <v>4099</v>
      </c>
      <c r="E47" s="17">
        <v>4099</v>
      </c>
      <c r="F47" s="17">
        <v>3894</v>
      </c>
      <c r="G47" s="18">
        <f>IF(AND(F65&lt;&gt;0,3894&lt;&gt;0),IF(100*3894/(F65-0)&lt;0.005,"*",100*3894/(F65-0)),0)</f>
        <v>0.17854342676830895</v>
      </c>
    </row>
    <row r="48" spans="1:7" x14ac:dyDescent="0.2">
      <c r="A48" s="11" t="s">
        <v>149</v>
      </c>
      <c r="B48" s="17">
        <v>84118</v>
      </c>
      <c r="C48" s="17">
        <v>0</v>
      </c>
      <c r="D48" s="17">
        <v>90847</v>
      </c>
      <c r="E48" s="17">
        <v>90847</v>
      </c>
      <c r="F48" s="17">
        <v>86305</v>
      </c>
      <c r="G48" s="18">
        <f>IF(AND(F65&lt;&gt;0,86305&lt;&gt;0),IF(100*86305/(F65-0)&lt;0.005,"*",100*86305/(F65-0)),0)</f>
        <v>3.9571624158291998</v>
      </c>
    </row>
    <row r="49" spans="1:7" x14ac:dyDescent="0.2">
      <c r="A49" s="11" t="s">
        <v>150</v>
      </c>
      <c r="B49" s="17">
        <v>202494</v>
      </c>
      <c r="C49" s="17">
        <v>0</v>
      </c>
      <c r="D49" s="17">
        <v>218693</v>
      </c>
      <c r="E49" s="17">
        <v>218693</v>
      </c>
      <c r="F49" s="17">
        <v>207759</v>
      </c>
      <c r="G49" s="18">
        <f>IF(AND(F65&lt;&gt;0,207759&lt;&gt;0),IF(100*207759/(F65-0)&lt;0.005,"*",100*207759/(F65-0)),0)</f>
        <v>9.5259383158595536</v>
      </c>
    </row>
    <row r="50" spans="1:7" x14ac:dyDescent="0.2">
      <c r="A50" s="11" t="s">
        <v>151</v>
      </c>
      <c r="B50" s="17">
        <v>8069</v>
      </c>
      <c r="C50" s="17">
        <v>0</v>
      </c>
      <c r="D50" s="17">
        <v>8714</v>
      </c>
      <c r="E50" s="17">
        <v>8714</v>
      </c>
      <c r="F50" s="17">
        <v>8278</v>
      </c>
      <c r="G50" s="18">
        <f>IF(AND(F65&lt;&gt;0,8278&lt;&gt;0),IF(100*8278/(F65-0)&lt;0.005,"*",100*8278/(F65-0)),0)</f>
        <v>0.37955379732615857</v>
      </c>
    </row>
    <row r="51" spans="1:7" x14ac:dyDescent="0.2">
      <c r="A51" s="11" t="s">
        <v>152</v>
      </c>
      <c r="B51" s="17">
        <v>3699</v>
      </c>
      <c r="C51" s="17">
        <v>0</v>
      </c>
      <c r="D51" s="17">
        <v>3995</v>
      </c>
      <c r="E51" s="17">
        <v>3995</v>
      </c>
      <c r="F51" s="17">
        <v>3795</v>
      </c>
      <c r="G51" s="18">
        <f>IF(AND(F65&lt;&gt;0,3795&lt;&gt;0),IF(100*3795/(F65-0)&lt;0.005,"*",100*3795/(F65-0)),0)</f>
        <v>0.17400418710470789</v>
      </c>
    </row>
    <row r="52" spans="1:7" x14ac:dyDescent="0.2">
      <c r="A52" s="11" t="s">
        <v>153</v>
      </c>
      <c r="B52" s="17">
        <v>39273</v>
      </c>
      <c r="C52" s="17">
        <v>0</v>
      </c>
      <c r="D52" s="17">
        <v>42415</v>
      </c>
      <c r="E52" s="17">
        <v>42415</v>
      </c>
      <c r="F52" s="17">
        <v>40294</v>
      </c>
      <c r="G52" s="18">
        <f>IF(AND(F65&lt;&gt;0,40294&lt;&gt;0),IF(100*40294/(F65-0)&lt;0.005,"*",100*40294/(F65-0)),0)</f>
        <v>1.8475163939913306</v>
      </c>
    </row>
    <row r="53" spans="1:7" x14ac:dyDescent="0.2">
      <c r="A53" s="11" t="s">
        <v>154</v>
      </c>
      <c r="B53" s="17">
        <v>32549</v>
      </c>
      <c r="C53" s="17">
        <v>0</v>
      </c>
      <c r="D53" s="17">
        <v>35153</v>
      </c>
      <c r="E53" s="17">
        <v>35153</v>
      </c>
      <c r="F53" s="17">
        <v>33395</v>
      </c>
      <c r="G53" s="18">
        <f>IF(AND(F65&lt;&gt;0,33395&lt;&gt;0),IF(100*33395/(F65-0)&lt;0.005,"*",100*33395/(F65-0)),0)</f>
        <v>1.5311909956157363</v>
      </c>
    </row>
    <row r="54" spans="1:7" x14ac:dyDescent="0.2">
      <c r="A54" s="11" t="s">
        <v>155</v>
      </c>
      <c r="B54" s="17">
        <v>16855</v>
      </c>
      <c r="C54" s="17">
        <v>0</v>
      </c>
      <c r="D54" s="17">
        <v>18204</v>
      </c>
      <c r="E54" s="17">
        <v>18204</v>
      </c>
      <c r="F54" s="17">
        <v>17294</v>
      </c>
      <c r="G54" s="18">
        <f>IF(AND(F65&lt;&gt;0,17294&lt;&gt;0),IF(100*17294/(F65-0)&lt;0.005,"*",100*17294/(F65-0)),0)</f>
        <v>0.792945563053707</v>
      </c>
    </row>
    <row r="55" spans="1:7" x14ac:dyDescent="0.2">
      <c r="A55" s="11" t="s">
        <v>156</v>
      </c>
      <c r="B55" s="17">
        <v>35363</v>
      </c>
      <c r="C55" s="17">
        <v>0</v>
      </c>
      <c r="D55" s="17">
        <v>38192</v>
      </c>
      <c r="E55" s="17">
        <v>38192</v>
      </c>
      <c r="F55" s="17">
        <v>36282</v>
      </c>
      <c r="G55" s="18">
        <f>IF(AND(F65&lt;&gt;0,36282&lt;&gt;0),IF(100*36282/(F65-0)&lt;0.005,"*",100*36282/(F65-0)),0)</f>
        <v>1.6635625603512547</v>
      </c>
    </row>
    <row r="56" spans="1:7" x14ac:dyDescent="0.2">
      <c r="A56" s="11" t="s">
        <v>157</v>
      </c>
      <c r="B56" s="17">
        <v>5250</v>
      </c>
      <c r="C56" s="17">
        <v>0</v>
      </c>
      <c r="D56" s="17">
        <v>5670</v>
      </c>
      <c r="E56" s="17">
        <v>5670</v>
      </c>
      <c r="F56" s="17">
        <v>5386</v>
      </c>
      <c r="G56" s="18">
        <f>IF(AND(F65&lt;&gt;0,5386&lt;&gt;0),IF(100*5386/(F65-0)&lt;0.005,"*",100*5386/(F65-0)),0)</f>
        <v>0.24695297806217567</v>
      </c>
    </row>
    <row r="57" spans="1:7" x14ac:dyDescent="0.2">
      <c r="A57" s="11" t="s">
        <v>158</v>
      </c>
      <c r="B57" s="17">
        <v>1226</v>
      </c>
      <c r="C57" s="17">
        <v>0</v>
      </c>
      <c r="D57" s="17">
        <v>1324</v>
      </c>
      <c r="E57" s="17">
        <v>1324</v>
      </c>
      <c r="F57" s="17">
        <v>1258</v>
      </c>
      <c r="G57" s="18">
        <f>IF(AND(F65&lt;&gt;0,1258&lt;&gt;0),IF(100*1258/(F65-0)&lt;0.005,"*",100*1258/(F65-0)),0)</f>
        <v>5.7680439361718711E-2</v>
      </c>
    </row>
    <row r="58" spans="1:7" x14ac:dyDescent="0.2">
      <c r="A58" s="11" t="s">
        <v>159</v>
      </c>
      <c r="B58" s="17">
        <v>162</v>
      </c>
      <c r="C58" s="17">
        <v>0</v>
      </c>
      <c r="D58" s="17">
        <v>175</v>
      </c>
      <c r="E58" s="17">
        <v>175</v>
      </c>
      <c r="F58" s="17">
        <v>166</v>
      </c>
      <c r="G58" s="18">
        <f>IF(AND(F65&lt;&gt;0,166&lt;&gt;0),IF(100*166/(F65-0)&lt;0.005,"*",100*166/(F65-0)),0)</f>
        <v>7.6112503450280651E-3</v>
      </c>
    </row>
    <row r="59" spans="1:7" x14ac:dyDescent="0.2">
      <c r="A59" s="11" t="s">
        <v>160</v>
      </c>
      <c r="B59" s="17">
        <v>994</v>
      </c>
      <c r="C59" s="17">
        <v>0</v>
      </c>
      <c r="D59" s="17">
        <v>1074</v>
      </c>
      <c r="E59" s="17">
        <v>1074</v>
      </c>
      <c r="F59" s="17">
        <v>1020</v>
      </c>
      <c r="G59" s="18">
        <f>IF(AND(F65&lt;&gt;0,1020&lt;&gt;0),IF(100*1020/(F65-0)&lt;0.005,"*",100*1020/(F65-0)),0)</f>
        <v>4.6767923806798957E-2</v>
      </c>
    </row>
    <row r="60" spans="1:7" x14ac:dyDescent="0.2">
      <c r="A60" s="11" t="s">
        <v>161</v>
      </c>
      <c r="B60" s="17">
        <v>17571</v>
      </c>
      <c r="C60" s="17">
        <v>0</v>
      </c>
      <c r="D60" s="17">
        <v>18977</v>
      </c>
      <c r="E60" s="17">
        <v>18977</v>
      </c>
      <c r="F60" s="17">
        <v>18028</v>
      </c>
      <c r="G60" s="18">
        <f>IF(AND(F65&lt;&gt;0,18028&lt;&gt;0),IF(100*18028/(F65-0)&lt;0.005,"*",100*18028/(F65-0)),0)</f>
        <v>0.82660012783232506</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1087</v>
      </c>
      <c r="C62" s="17">
        <v>0</v>
      </c>
      <c r="D62" s="17">
        <v>1174</v>
      </c>
      <c r="E62" s="17">
        <v>1174</v>
      </c>
      <c r="F62" s="17">
        <v>1115</v>
      </c>
      <c r="G62" s="18">
        <f>IF(AND(F65&lt;&gt;0,1115&lt;&gt;0),IF(100*1115/(F65-0)&lt;0.005,"*",100*1115/(F65-0)),0)</f>
        <v>5.1123759847628271E-2</v>
      </c>
    </row>
    <row r="63" spans="1:7" x14ac:dyDescent="0.2">
      <c r="A63" s="11" t="s">
        <v>164</v>
      </c>
      <c r="B63" s="17">
        <v>51218</v>
      </c>
      <c r="C63" s="17">
        <v>0</v>
      </c>
      <c r="D63" s="17">
        <v>55316</v>
      </c>
      <c r="E63" s="17">
        <v>55316</v>
      </c>
      <c r="F63" s="17">
        <v>52550</v>
      </c>
      <c r="G63" s="18">
        <f>IF(AND(F65&lt;&gt;0,52550&lt;&gt;0),IF(100*52550/(F65-0)&lt;0.005,"*",100*52550/(F65-0)),0)</f>
        <v>2.409465094164005</v>
      </c>
    </row>
    <row r="64" spans="1:7" x14ac:dyDescent="0.2">
      <c r="A64" s="11" t="s">
        <v>165</v>
      </c>
      <c r="B64" s="17">
        <v>0</v>
      </c>
      <c r="C64" s="17">
        <v>0</v>
      </c>
      <c r="D64" s="17">
        <v>0</v>
      </c>
      <c r="E64" s="17">
        <v>0</v>
      </c>
      <c r="F64" s="17">
        <v>0</v>
      </c>
      <c r="G64" s="18">
        <v>0</v>
      </c>
    </row>
    <row r="65" spans="1:7" ht="15" customHeight="1" x14ac:dyDescent="0.2">
      <c r="A65" s="19" t="s">
        <v>106</v>
      </c>
      <c r="B65" s="20">
        <f>39536+36566+48314+23427+277753+23102+16061+5634+4897+107087+75506+5699+9536+99761+53771+15210+17762+30080+47327+4292+17617+30757+46616+26711+24600+33043+4819+8080+7588+3119+58883+27226+81876+81760+1731+69503+40707+17641+61844+4097+32450+3795+84118+202494+8069+3699+39273+32549+16855+35363+5250+1226+162+994+17571+0+1087+51218+0+0</f>
        <v>2125712</v>
      </c>
      <c r="C65" s="20">
        <f>0+0+0+0+0+0+0+0+0+0+0+0+0+0+0+0+0+0+0+0+0+0+0+0+0+0+0+0+0+0+0+0+0+0+0+0+0+0+0+0+0+0+0+0+0+0+0+0+0+0+0+0+0+0+0+0+0+0+0+0</f>
        <v>0</v>
      </c>
      <c r="D65" s="20">
        <f>42699+39491+52180+25301+299973+24951+17345+6085+5289+115654+81547+6154+10299+107742+58073+16427+19183+32486+51113+4636+19026+33217+50345+28848+26568+35686+5205+8727+8195+3368+63594+29404+88426+88300+1870+75064+43964+19053+66792+4425+35046+4099+90847+218693+8714+3995+42415+35153+18204+38192+5670+1324+175+1074+18977+0+1174+55316+0+0</f>
        <v>2295773</v>
      </c>
      <c r="E65" s="20">
        <f>SUM(C65:D65)</f>
        <v>2295773</v>
      </c>
      <c r="F65" s="20">
        <f>40564+37516+49571+24036+284975+23703+16478+5781+5025+109871+77469+5847+9784+102355+55169+15606+18224+30862+48557+4404+18075+31556+47828+27406+25240+33902+4944+8291+7785+3200+60414+27934+84005+83885+1776+71311+41765+18100+63452+4203+33294+3894+86305+207759+8278+3795+40294+33395+17294+36282+5386+1258+166+1020+18028+0+1115+52550+0+0</f>
        <v>2180982</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zoomScaleNormal="100" workbookViewId="0"/>
  </sheetViews>
  <sheetFormatPr defaultRowHeight="12.75" x14ac:dyDescent="0.2"/>
  <cols>
    <col min="1" max="1" width="39.28515625" customWidth="1"/>
    <col min="2" max="7" width="11.7109375" customWidth="1"/>
  </cols>
  <sheetData>
    <row r="1" spans="1:7" x14ac:dyDescent="0.2">
      <c r="A1" s="13" t="s">
        <v>518</v>
      </c>
      <c r="B1" s="14"/>
      <c r="C1" s="14"/>
      <c r="D1" s="14"/>
      <c r="E1" s="14"/>
      <c r="F1" s="14"/>
      <c r="G1" s="14"/>
    </row>
    <row r="2" spans="1:7" x14ac:dyDescent="0.2">
      <c r="A2" s="14" t="s">
        <v>509</v>
      </c>
      <c r="B2" s="14"/>
      <c r="C2" s="14"/>
      <c r="D2" s="14"/>
      <c r="E2" s="14"/>
      <c r="F2" s="14"/>
      <c r="G2" s="14"/>
    </row>
    <row r="3" spans="1:7" x14ac:dyDescent="0.2">
      <c r="A3" s="58" t="s">
        <v>99</v>
      </c>
      <c r="B3" s="58" t="s">
        <v>517</v>
      </c>
      <c r="C3" s="41" t="s">
        <v>516</v>
      </c>
      <c r="D3" s="41"/>
      <c r="E3" s="41"/>
      <c r="F3" s="41"/>
      <c r="G3" s="55" t="s">
        <v>103</v>
      </c>
    </row>
    <row r="4" spans="1:7" x14ac:dyDescent="0.2">
      <c r="A4" s="59"/>
      <c r="B4" s="59"/>
      <c r="C4" s="41" t="s">
        <v>101</v>
      </c>
      <c r="D4" s="41"/>
      <c r="E4" s="41"/>
      <c r="F4" s="62" t="s">
        <v>102</v>
      </c>
      <c r="G4" s="61"/>
    </row>
    <row r="5" spans="1:7" ht="25.5" customHeight="1" x14ac:dyDescent="0.2">
      <c r="A5" s="60"/>
      <c r="B5" s="60"/>
      <c r="C5" s="40" t="s">
        <v>104</v>
      </c>
      <c r="D5" s="40" t="s">
        <v>506</v>
      </c>
      <c r="E5" s="40" t="s">
        <v>106</v>
      </c>
      <c r="F5" s="63"/>
      <c r="G5" s="56"/>
    </row>
    <row r="6" spans="1:7" x14ac:dyDescent="0.2">
      <c r="A6" s="11" t="s">
        <v>107</v>
      </c>
      <c r="B6" s="30">
        <f>(78169+212288+110340+53471+50031+249622+32468+185993+65201+319667+4068128+93007+59060+44702+53212+16442+25150+141099+54461+11070+23792+22437+30794+199754+121755+58103+38886+28641+28834+63650+50072+846690+14975+15740+39536+0)/1000</f>
        <v>7507.24</v>
      </c>
      <c r="C6" s="30">
        <f>(0+13254+19695+0+695+0+0+0+0+61162+0+0+0+0+0+0+0+0+0+0+0+0+0+881+23148+1545+27202+0+0+42183+0+536+454+477+0+0)/1000</f>
        <v>191.232</v>
      </c>
      <c r="D6" s="30">
        <f>(88384+211556+89979+57688+64884+247529+32877+186367+64257+281507+4391003+93007+59874+44625+52849+16442+24674+140025+53569+11704+23764+0+0+195828+133379+59409+22086+0+28199+31823+50398+711893+14682+15436+42699+0)/1000</f>
        <v>7542.3959999999997</v>
      </c>
      <c r="E6" s="30">
        <f t="shared" ref="E6:E37" si="0">SUM(C6:D6)</f>
        <v>7733.6279999999997</v>
      </c>
      <c r="F6" s="30">
        <f>(93557+228945+101409+62374+61459+245254+0+186626+69567+228446+4599057+83984+59222+0+47619+16442+34279+140183+54261+12583+0+0+0+187541+80881+0+8596+0+26515+72318+50795+754571+10803+16021+40564+0)/1000</f>
        <v>7573.8720000000003</v>
      </c>
      <c r="G6" s="18">
        <f>IF(AND(F64&lt;&gt;0,F6&lt;&gt;0),IF(100*F6/F64&lt;0.005,"*",100*F6/F64),0)</f>
        <v>1.2208600334755355</v>
      </c>
    </row>
    <row r="7" spans="1:7" x14ac:dyDescent="0.2">
      <c r="A7" s="11" t="s">
        <v>108</v>
      </c>
      <c r="B7" s="30">
        <f>(13002+37764+23540+9359+10336+42679+9667+37713+10711+32562+1437360+44397+21626+10271+5331+3545+4398+17506+25580+21892+3616+1220+8088+41190+8294+2020+1613+0+24305+68737+222528+516199+8015+8241+36566+0)/1000</f>
        <v>2769.8710000000001</v>
      </c>
      <c r="C7" s="30">
        <f>(0+2358+4202+0+143+0+0+0+0+6230+0+0+0+0+0+0+0+0+0+0+0+0+0+182+1577+35+2629+0+0+45555+0+19123+243+250+0+0)/1000</f>
        <v>82.527000000000001</v>
      </c>
      <c r="D7" s="30">
        <f>(14701+37634+19196+10097+13405+43037+9777+37826+10616+28675+1660904+44397+21924+10114+5294+3545+4316+16756+25161+23145+3625+0+0+40380+9085+2061+2753+0+23703+34366+203687+471641+7858+8082+39491+0)/1000</f>
        <v>2887.252</v>
      </c>
      <c r="E7" s="30">
        <f t="shared" si="0"/>
        <v>2969.779</v>
      </c>
      <c r="F7" s="30">
        <f>(15562+40727+21635+10917+12697+42855+0+37888+11594+23270+1704574+40090+21685+0+4771+3545+5995+16806+25486+24884+0+0+0+38671+5483+0+0+0+22350+78097+205291+499916+5782+8388+37516+0)/1000</f>
        <v>2966.4749999999999</v>
      </c>
      <c r="G7" s="18">
        <f>IF(AND(F64&lt;&gt;0,F7&lt;&gt;0),IF(100*F7/F64&lt;0.005,"*",100*F7/F64),0)</f>
        <v>0.47817691767227372</v>
      </c>
    </row>
    <row r="8" spans="1:7" x14ac:dyDescent="0.2">
      <c r="A8" s="11" t="s">
        <v>109</v>
      </c>
      <c r="B8" s="30">
        <f>(94310+280631+130542+49935+68860+347779+32265+199884+72822+206434+9168872+199407+47835+20759+71548+19827+37402+157736+169443+133747+33434+15787+48552+174195+19463+7505+21283+0+32725+94778+83655+770997+15905+20006+48314+0)/1000</f>
        <v>12896.637000000001</v>
      </c>
      <c r="C8" s="30">
        <f>(0+17521+23301+0+956+0+0+0+0+39497+0+0+0+0+0+0+0+0+0+0+0+0+0+769+3700+607+34149+0+0+62813+0+0+274+451+0+0)/1000</f>
        <v>184.03800000000001</v>
      </c>
      <c r="D8" s="30">
        <f>(106634+279664+106453+53873+89303+352911+35348+201820+72603+181791+9936912+199407+48494+20723+71060+19827+36697+148892+166669+141399+33868+0+0+170771+21322+8100+10292+0+31914+47385+64088+686475+8868+14592+52180+0)/1000</f>
        <v>13420.334999999999</v>
      </c>
      <c r="E8" s="30">
        <f t="shared" si="0"/>
        <v>13604.373</v>
      </c>
      <c r="F8" s="30">
        <f>(112876+302650+119976+58249+84589+354815+0+203172+80675+147525+10417087+180061+47966+0+64029+19827+50979+148665+168822+152026+0+0+0+163544+12932+0+51287+0+30093+107685+64592+727602+6526+15145+49571+0)/1000</f>
        <v>13942.966</v>
      </c>
      <c r="G8" s="18">
        <f>IF(AND(F64&lt;&gt;0,F8&lt;&gt;0),IF(100*F8/F64&lt;0.005,"*",100*F8/F64),0)</f>
        <v>2.2475175098692257</v>
      </c>
    </row>
    <row r="9" spans="1:7" x14ac:dyDescent="0.2">
      <c r="A9" s="11" t="s">
        <v>110</v>
      </c>
      <c r="B9" s="30">
        <f>(53962+135798+69987+56151+29783+162430+19675+114564+40560+194356+3994695+56546+37062+26840+33627+5300+16279+92445+38400+22840+14583+7745+13815+102537+31782+17322+6597+0+19347+32372+31802+592195+8761+12610+23427+0)/1000</f>
        <v>6116.1949999999997</v>
      </c>
      <c r="C9" s="30">
        <f>(0+8478+12492+0+413+0+0+0+0+37186+0+0+0+0+0+0+0+0+0+0+0+0+0+452+6042+4471+16721+0+0+21454+0+0+266+382+0+0)/1000</f>
        <v>108.357</v>
      </c>
      <c r="D9" s="30">
        <f>(61013+135330+57072+60580+38625+155878+19954+114790+38571+171155+5537079+56546+37572+28839+33398+5300+15971+92412+37771+24147+14602+0+0+100522+34816+22866+14443+0+18868+16185+31678+485787+8589+12367+25301+0)/1000</f>
        <v>7508.027</v>
      </c>
      <c r="E9" s="30">
        <f t="shared" si="0"/>
        <v>7616.384</v>
      </c>
      <c r="F9" s="30">
        <f>(64585+146453+64322+65500+36586+154312+0+114949+41897+138894+5592450+51060+37164+0+30093+5300+22188+91583+38259+25962+0+0+0+96268+21431+0+1162+0+17791+36780+31927+514908+6320+12835+24036+0)/1000</f>
        <v>7485.0150000000003</v>
      </c>
      <c r="G9" s="18">
        <f>IF(AND(F64&lt;&gt;0,F9&lt;&gt;0),IF(100*F9/F64&lt;0.005,"*",100*F9/F64),0)</f>
        <v>1.2065368497731259</v>
      </c>
    </row>
    <row r="10" spans="1:7" x14ac:dyDescent="0.2">
      <c r="A10" s="11" t="s">
        <v>111</v>
      </c>
      <c r="B10" s="30">
        <f>(513900+1491133+1123256+444875+961583+1824443+226600+1238605+313323+2668626+60223130+3638696+677466+170818+305024+85592+210942+1210418+1509183+513039+191677+181551+321315+3715705+104977+63345+276258+70359+363582+1757177+292478+3591849+95848+79255+277753+0)/1000</f>
        <v>90733.781000000003</v>
      </c>
      <c r="C10" s="30">
        <f>(0+93096+200493+0+13350+0+0+0+0+510588+0+0+0+0+0+0+0+0+0+0+0+0+0+16396+19958+6745+222816+0+0+1164546+0+778946+2904+2352+0+0)/1000</f>
        <v>3032.19</v>
      </c>
      <c r="D10" s="30">
        <f>(581052+1485993+915980+479963+1247056+1946774+230123+1253978+296297+2350062+67138967+3637998+686802+176926+302946+85592+206959+1144945+1484473+542391+191792+0+0+3642678+114999+62854+88167+0+354571+878517+262297+3458260+93904+76048+299973+0)/1000</f>
        <v>95719.337</v>
      </c>
      <c r="E10" s="30">
        <f t="shared" si="0"/>
        <v>98751.527000000002</v>
      </c>
      <c r="F10" s="30">
        <f>(615064+1608131+1032342+518946+1181224+1958638+0+1255717+325123+1907099+64719285+3285037+679330+0+272967+85592+287516+1147283+1503649+583155+0+0+0+3488525+70108+0+289636+0+334342+1996459+264362+3701271+69099+78926+284975+0)/1000</f>
        <v>93543.801000000007</v>
      </c>
      <c r="G10" s="18">
        <f>IF(AND(F64&lt;&gt;0,F10&lt;&gt;0),IF(100*F10/F64&lt;0.005,"*",100*F10/F64),0)</f>
        <v>15.078666238390198</v>
      </c>
    </row>
    <row r="11" spans="1:7" x14ac:dyDescent="0.2">
      <c r="A11" s="11" t="s">
        <v>112</v>
      </c>
      <c r="B11" s="30">
        <f>(48526+133459+67957+26285+46988+151549+22744+163101+38999+254391+5243127+135608+54993+51094+35389+10174+29161+110072+77916+16478+26719+13126+21636+273945+26274+11126+36067+118023+36839+139133+51099+725993+10712+14344+23102+0)/1000</f>
        <v>8246.1489999999994</v>
      </c>
      <c r="C11" s="30">
        <f>(0+8332+12130+0+652+0+0+0+0+48673+0+0+0+0+0+0+0+0+0+0+0+0+0+1209+4995+1055+5142+0+0+92208+0+0+325+435+0+0)/1000</f>
        <v>175.15600000000001</v>
      </c>
      <c r="D11" s="30">
        <f>(54867+132999+55417+28358+60938+149557+23322+163386+44504+224023+5481265+135608+55751+49153+35147+10174+28614+101328+76641+17421+27073+0+0+268561+28782+11304+18891+0+35926+69561+69002+501706+10502+14067+24951+0)/1000</f>
        <v>8008.799</v>
      </c>
      <c r="E11" s="30">
        <f t="shared" si="0"/>
        <v>8183.9549999999999</v>
      </c>
      <c r="F11" s="30">
        <f>(58079+143930+62457+30661+57721+150778+0+163612+49057+181797+5562128+122451+55144+0+31669+10174+39747+101403+77631+18730+0+0+0+257196+17546+0+7722+0+33876+158079+69545+531761+7728+14600+23703+0)/1000</f>
        <v>8038.9250000000002</v>
      </c>
      <c r="G11" s="18">
        <f>IF(AND(F64&lt;&gt;0,F11&lt;&gt;0),IF(100*F11/F64&lt;0.005,"*",100*F11/F64),0)</f>
        <v>1.2958236216042889</v>
      </c>
    </row>
    <row r="12" spans="1:7" x14ac:dyDescent="0.2">
      <c r="A12" s="11" t="s">
        <v>113</v>
      </c>
      <c r="B12" s="30">
        <f>(31880+101996+42284+17833+53206+129075+19129+136225+22244+77405+4581203+265908+55094+78781+18404+18738+16618+65590+71503+44135+17583+11644+33687+414307+63342+24009+38416+113556+54196+176887+35663+544188+16406+8351+16061+0)/1000</f>
        <v>7415.5469999999996</v>
      </c>
      <c r="C12" s="30">
        <f>(0+6368+7547+0+739+0+0+0+0+14810+0+0+0+0+0+0+0+0+0+0+0+0+0+1828+12043+1248+9699+0+0+117230+0+0+497+253+0+0)/1000</f>
        <v>172.262</v>
      </c>
      <c r="D12" s="30">
        <f>(36046+101644+34481+19240+69002+122901+18480+136516+21288+68165+5143255+265908+55853+74727+18278+18738+16618+65047+70332+46661+17476+0+0+406165+69389+24660+16795+0+52853+88436+22261+466431+16085+8190+17345+0)/1000</f>
        <v>7609.2659999999996</v>
      </c>
      <c r="E12" s="30">
        <f t="shared" si="0"/>
        <v>7781.5279999999993</v>
      </c>
      <c r="F12" s="30">
        <f>(38156+109999+38862+20802+65359+121388+0+136705+22945+55316+5154927+240109+55245+0+16469+18738+22651+65271+71241+50167+0+0+0+388976+41994+0+14567+0+49837+200975+22436+499463+11836+8500+16478+0)/1000</f>
        <v>7559.4120000000003</v>
      </c>
      <c r="G12" s="18">
        <f>IF(AND(F64&lt;&gt;0,F12&lt;&gt;0),IF(100*F12/F64&lt;0.005,"*",100*F12/F64),0)</f>
        <v>1.2185291733706836</v>
      </c>
    </row>
    <row r="13" spans="1:7" x14ac:dyDescent="0.2">
      <c r="A13" s="11" t="s">
        <v>114</v>
      </c>
      <c r="B13" s="30">
        <f>(14283+36932+15814+17187+12757+50634+9667+36696+10958+35252+1400746+32184+24575+12045+7674+5179+4714+20398+7843+1918+4632+4918+8624+42203+11035+4628+230+0+8650+18270+6089+200245+7256+8241+5634+0)/1000</f>
        <v>2088.1109999999999</v>
      </c>
      <c r="C13" s="30">
        <f>(0+2306+2823+0+177+0+0+0+0+6745+0+0+0+0+0+0+0+0+0+0+0+0+0+186+2098+72+6127+0+0+12108+0+0+199+250+0+0)/1000</f>
        <v>33.091000000000001</v>
      </c>
      <c r="D13" s="30">
        <f>(16149+36805+12896+18543+16544+50036+9777+36804+10616+31044+1498157+32184+24913+12648+7621+5179+4625+19506+7714+2027+4652+0+0+41373+12088+4355+1458+0+8435+9134+8216+157556+6446+8082+6085+0)/1000</f>
        <v>2121.6680000000001</v>
      </c>
      <c r="E13" s="30">
        <f t="shared" si="0"/>
        <v>2154.759</v>
      </c>
      <c r="F13" s="30">
        <f>(17095+39830+14534+20049+15671+50166+0+36865+11594+25192+1552379+29062+24642+0+6867+5179+6425+19366+7814+2180+0+0+0+39622+7306+0+6175+0+7954+20758+8281+168220+4743+8388+5781+0)/1000</f>
        <v>2162.1379999999999</v>
      </c>
      <c r="G13" s="18">
        <f>IF(AND(F64&lt;&gt;0,F13&lt;&gt;0),IF(100*F13/F64&lt;0.005,"*",100*F13/F64),0)</f>
        <v>0.34852290493669907</v>
      </c>
    </row>
    <row r="14" spans="1:7" x14ac:dyDescent="0.2">
      <c r="A14" s="11" t="s">
        <v>115</v>
      </c>
      <c r="B14" s="30">
        <f>(11349+28339+14135+9999+23137+47177+9667+18879+14977+42469+2175606+92304+18221+10393+4614+4567+2966+31914+42469+10296+3292+16964+67503+212039+50104+14117+13778+0+10493+479152+250+303030+5892+8241+4897+0)/1000</f>
        <v>3803.23</v>
      </c>
      <c r="C14" s="30">
        <f>(0+1769+2523+0+321+0+0+0+0+8126+0+0+0+0+0+0+0+0+0+0+0+0+0+936+9526+230+13794+0+0+317552+0+0+199+250+0+0)/1000</f>
        <v>355.226</v>
      </c>
      <c r="D14" s="30">
        <f>(12832+28241+11527+10788+30006+50107+9777+19202+14538+37399+2334974+92304+18472+10307+4582+4567+2912+31968+41774+10885+3328+0+0+207872+54887+14415+8952+0+10233+239557+242+149706+6446+8082+5289+0)/1000</f>
        <v>3486.1709999999998</v>
      </c>
      <c r="E14" s="30">
        <f t="shared" si="0"/>
        <v>3841.3969999999999</v>
      </c>
      <c r="F14" s="30">
        <f>(13583+30563+12991+11664+28422+50704+0+19519+15754+30350+2434888+83349+18271+0+4129+4567+4042+31802+42314+11703+0+0+0+199075+33089+0+0+0+9649+544401+244+158675+4743+8388+5025+0)/1000</f>
        <v>3811.904</v>
      </c>
      <c r="G14" s="18">
        <f>IF(AND(F64&lt;&gt;0,F14&lt;&gt;0),IF(100*F14/F64&lt;0.005,"*",100*F14/F64),0)</f>
        <v>0.61445469966293698</v>
      </c>
    </row>
    <row r="15" spans="1:7" x14ac:dyDescent="0.2">
      <c r="A15" s="11" t="s">
        <v>116</v>
      </c>
      <c r="B15" s="30">
        <f>(244080+770725+367569+254988+84647+852320+92743+658654+184999+686575+14628664+560484+197126+71144+168392+43027+93742+373041+223841+152928+99260+120791+101528+938427+116428+49314+133571+58602+86854+453990+219656+1949768+45205+30143+107087+0)/1000</f>
        <v>25220.312999999998</v>
      </c>
      <c r="C15" s="30">
        <f>(0+48118+65608+0+1175+0+0+0+0+131362+0+0+0+0+0+0+0+0+0+0+0+0+0+4141+22135+1827+126898+213316+0+300876+0+91904+1371+914+0+0)/1000</f>
        <v>1009.645</v>
      </c>
      <c r="D15" s="30">
        <f>(275974+768068+299741+275099+109777+833841+96606+659904+194899+604616+16082299+560484+199844+71022+167245+43027+91998+370316+220177+161677+100722+0+0+919983+115680+49659+24456+0+84701+226977+162962+1783429+44319+29562+115654+0)/1000</f>
        <v>25744.718000000001</v>
      </c>
      <c r="E15" s="30">
        <f t="shared" si="0"/>
        <v>26754.363000000001</v>
      </c>
      <c r="F15" s="30">
        <f>(292129+831198+337819+297443+103982+840328+0+660819+216845+490652+15397518+506106+197669+0+150695+43027+127771+369450+223021+173828+0+0+0+881051+77203+0+144262+461942+79869+515812+164244+1890407+32613+30681+109871+0)/1000</f>
        <v>25648.255000000001</v>
      </c>
      <c r="G15" s="18">
        <f>IF(AND(F64&lt;&gt;0,F15&lt;&gt;0),IF(100*F15/F64&lt;0.005,"*",100*F15/F64),0)</f>
        <v>4.1343357080617507</v>
      </c>
    </row>
    <row r="16" spans="1:7" x14ac:dyDescent="0.2">
      <c r="A16" s="11" t="s">
        <v>117</v>
      </c>
      <c r="B16" s="30">
        <f>(189245+520709+217098+116416+95631+537331+54221+347098+100000+404760+7251905+329650+82577+56259+119099+36548+57529+231759+87295+43099+50018+64383+46840+516947+105517+59154+988+0+56449+212639+75442+1401233+22643+17968+75506+0)/1000</f>
        <v>13583.956</v>
      </c>
      <c r="C16" s="30">
        <f>(0+32509+38750+0+1328+0+0+0+0+77443+0+0+0+0+0+0+0+0+0+0+0+0+0+2281+20061+1711+75987+0+0+140923+0+0+687+545+0+0)/1000</f>
        <v>392.22500000000002</v>
      </c>
      <c r="D16" s="30">
        <f>(213974+518914+177037+125598+124022+521081+57633+347673+114106+356442+7984219+329650+83715+56162+118286+36548+56445+230504+85866+45564+50381+0+0+506787+114602+59356+24212+0+55050+106311+74123+1211479+22199+17622+81547+0)/1000</f>
        <v>13907.108</v>
      </c>
      <c r="E16" s="30">
        <f t="shared" si="0"/>
        <v>14299.333000000001</v>
      </c>
      <c r="F16" s="30">
        <f>(226499+561565+199527+135799+117475+521035+0+348155+125745+289257+8294427+297668+82804+0+106581+36548+78412+230590+86975+48989+0+0+0+485340+70288+0+58687+0+51909+241594+74707+1284075+16336+18289+77469+0)/1000</f>
        <v>14166.745000000001</v>
      </c>
      <c r="G16" s="18">
        <f>IF(AND(F64&lt;&gt;0,F16&lt;&gt;0),IF(100*F16/F64&lt;0.005,"*",100*F16/F64),0)</f>
        <v>2.2835892625250827</v>
      </c>
    </row>
    <row r="17" spans="1:7" x14ac:dyDescent="0.2">
      <c r="A17" s="11" t="s">
        <v>118</v>
      </c>
      <c r="B17" s="30">
        <f>(11068+44355+30056+7032+22336+53452+9667+40739+12944+52297+1609715+98578+16787+5147+10254+4972+7395+28431+18512+15717+7010+3732+7683+128436+23420+9139+12322+0+13527+38318+13803+150117+9983+8316+5699+0)/1000</f>
        <v>2530.9589999999998</v>
      </c>
      <c r="C17" s="30">
        <f>(0+2769+5365+0+310+0+0+0+0+10006+0+0+0+0+0+0+0+0+0+0+0+0+0+567+4453+429+7209+0+0+25395+0+0+314+250+0+0)/1000</f>
        <v>57.067</v>
      </c>
      <c r="D17" s="30">
        <f>(12514+44202+24510+7587+28967+48717+9777+40817+12494+46054+1591533+98578+17018+4635+10184+4972+7257+28153+18209+16616+6980+0+0+125912+25656+9330+7948+0+13191+19157+25134+156626+10169+8082+6154+0)/1000</f>
        <v>2487.1329999999998</v>
      </c>
      <c r="E17" s="30">
        <f t="shared" si="0"/>
        <v>2544.1999999999998</v>
      </c>
      <c r="F17" s="30">
        <f>(13247+47835+27623+8203+27438+47956+0+40874+13630+37373+1514318+89014+16833+0+9176+4972+10080+28264+18444+17864+0+0+0+120584+15484+0+0+0+12439+43536+25332+168197+7483+8388+5847+0)/1000</f>
        <v>2380.4340000000002</v>
      </c>
      <c r="G17" s="18">
        <f>IF(AND(F64&lt;&gt;0,F17&lt;&gt;0),IF(100*F17/F64&lt;0.005,"*",100*F17/F64),0)</f>
        <v>0.38371083283772195</v>
      </c>
    </row>
    <row r="18" spans="1:7" x14ac:dyDescent="0.2">
      <c r="A18" s="11" t="s">
        <v>119</v>
      </c>
      <c r="B18" s="30">
        <f>(18266+51431+30067+7766+9254+58319+9667+57538+18814+82890+1372954+30307+23747+19039+16762+2868+9800+34862+12016+7671+8104+4123+9044+40177+1207+1305+10653+0+23092+16717+36991+301459+6574+8241+9536+0)/1000</f>
        <v>2351.261</v>
      </c>
      <c r="C18" s="30">
        <f>(0+3211+5367+0+128+0+0+0+0+15859+0+0+0+0+0+0+0+0+0+0+0+0+0+177+229+30+3828+0+0+11079+0+13304+199+250+0+0)/1000</f>
        <v>53.661000000000001</v>
      </c>
      <c r="D18" s="30">
        <f>(20653+51254+24519+8379+12001+58254+9777+57641+19259+72995+1546165+30307+24074+18882+16647+2868+9800+32230+11820+8110+8224+0+0+39387+1322+1073+5719+0+22520+8358+29863+269187+6446+8082+10299+0)/1000</f>
        <v>2446.1149999999998</v>
      </c>
      <c r="E18" s="30">
        <f t="shared" si="0"/>
        <v>2499.7759999999998</v>
      </c>
      <c r="F18" s="30">
        <f>(21862+55466+27633+9059+11368+58400+0+57721+21403+59236+1657080+27367+23812+0+15000+2868+13358+32390+11972+8720+0+0+0+37720+834+0+3995+0+21235+18993+30098+285328+4743+8388+9784+0)/1000</f>
        <v>2535.8330000000001</v>
      </c>
      <c r="G18" s="18">
        <f>IF(AND(F64&lt;&gt;0,F18&lt;&gt;0),IF(100*F18/F64&lt;0.005,"*",100*F18/F64),0)</f>
        <v>0.40876016405721771</v>
      </c>
    </row>
    <row r="19" spans="1:7" x14ac:dyDescent="0.2">
      <c r="A19" s="11" t="s">
        <v>120</v>
      </c>
      <c r="B19" s="30">
        <f>(138629+460372+226365+145355+112759+675047+82916+515417+112059+547395+9950384+583126+113775+167585+99949+56874+67616+360265+198697+80063+62970+42291+125494+959731+249136+110901+63739+58641+152577+532937+127586+1573537+60663+34488+99761+0)/1000</f>
        <v>18949.099999999999</v>
      </c>
      <c r="C19" s="30">
        <f>(0+28742+40404+0+1565+0+0+0+0+104733+0+0+0+0+0+0+0+0+0+0+0+0+0+4235+47366+5051+139329+0+0+353197+0+1313+1837+1043+0+0)/1000</f>
        <v>728.81500000000005</v>
      </c>
      <c r="D19" s="30">
        <f>(156744+458785+184593+156819+146235+664503+81316+519232+113035+482050+12651389+583126+115343+166066+99268+56874+66329+354219+195444+84644+62553+0+0+940869+261057+108042+24034+0+148796+266447+148963+1334008+59381+33729+107742+0)/1000</f>
        <v>20831.634999999998</v>
      </c>
      <c r="E19" s="30">
        <f t="shared" si="0"/>
        <v>21560.449999999997</v>
      </c>
      <c r="F19" s="30">
        <f>(165919+496494+208044+169557+138515+668811+0+519952+122652+391189+10980454+526551+114088+0+89445+56874+92162+354932+197968+91005+0+0+0+901053+164863+0+169325+0+140307+605510+150136+1413922+43696+35007+102355+0)/1000</f>
        <v>19110.786</v>
      </c>
      <c r="G19" s="18">
        <f>IF(AND(F64&lt;&gt;0,F19&lt;&gt;0),IF(100*F19/F64&lt;0.005,"*",100*F19/F64),0)</f>
        <v>3.0805372517127032</v>
      </c>
    </row>
    <row r="20" spans="1:7" x14ac:dyDescent="0.2">
      <c r="A20" s="11" t="s">
        <v>121</v>
      </c>
      <c r="B20" s="30">
        <f>(78949+259469+111948+59147+56902+264297+34802+264933+70816+191065+8370623+206117+76978+75871+64662+26182+36130+143191+64220+62663+32414+41102+19507+210741+42276+23314+26798+0+39190+92325+59878+1000596+32275+13368+53771+0)/1000</f>
        <v>12206.52</v>
      </c>
      <c r="C20" s="30">
        <f>(0+16199+19982+0+790+0+0+0+0+36556+0+0+0+0+0+0+0+0+0+0+0+0+0+930+8038+5229+34511+0+0+61187+0+0+979+405+0+0)/1000</f>
        <v>184.80600000000001</v>
      </c>
      <c r="D20" s="30">
        <f>(89265+258575+91290+63812+73795+262355+35843+265451+75931+168257+9638767+206117+78038+75183+64221+26182+35448+134649+63169+66248+32412+0+0+206599+46312+27588+34828+0+38218+46159+61694+874929+31642+13111+58073+0)/1000</f>
        <v>13244.161</v>
      </c>
      <c r="E20" s="30">
        <f t="shared" si="0"/>
        <v>13428.967000000001</v>
      </c>
      <c r="F20" s="30">
        <f>(94491+279828+102887+68995+69899+263305+0+265820+82646+136542+9592409+186119+77189+0+57866+26182+49246+134819+63985+71227+0+0+0+197856+28115+0+9940+0+36038+104897+62180+947595+23284+13607+55169+0)/1000</f>
        <v>13102.136</v>
      </c>
      <c r="G20" s="18">
        <f>IF(AND(F64&lt;&gt;0,F20&lt;&gt;0),IF(100*F20/F64&lt;0.005,"*",100*F20/F64),0)</f>
        <v>2.11198105745133</v>
      </c>
    </row>
    <row r="21" spans="1:7" x14ac:dyDescent="0.2">
      <c r="A21" s="11" t="s">
        <v>122</v>
      </c>
      <c r="B21" s="30">
        <f>(28155+112839+45051+27563+22216+96944+15885+125121+30817+145720+2673861+130558+41560+53776+24584+8508+16847+69878+18552+38268+15296+15485+14163+101878+5990+6585+7228+96887+25502+46168+43754+517033+18125+12326+15210+0)/1000</f>
        <v>4668.3329999999996</v>
      </c>
      <c r="C21" s="30">
        <f>(0+7045+8041+0+308+0+0+0+0+27881+0+0+0+0+0+0+0+0+0+0+0+0+0+450+1139+689+25925+0+0+30597+0+0+550+374+0+0)/1000</f>
        <v>102.999</v>
      </c>
      <c r="D21" s="30">
        <f>(31834+112450+36738+29737+28811+95650+15771+125383+32865+128325+2972410+130558+42132+53288+24416+8508+16531+66932+18248+40457+15317+0+0+99876+6562+4877+18663+0+24870+23082+33888+461126+17770+12088+16427+0)/1000</f>
        <v>4745.59</v>
      </c>
      <c r="E21" s="30">
        <f t="shared" si="0"/>
        <v>4848.5889999999999</v>
      </c>
      <c r="F21" s="30">
        <f>(33697+121693+41405+32152+27290+95781+0+125557+35638+104137+3061275+117891+41674+0+22000+8508+22963+67314+18484+43498+0+0+0+95649+4177+0+6605+0+23452+52455+34155+488768+13076+12546+15606+0)/1000</f>
        <v>4767.4459999999999</v>
      </c>
      <c r="G21" s="18">
        <f>IF(AND(F64&lt;&gt;0,F21&lt;&gt;0),IF(100*F21/F64&lt;0.005,"*",100*F21/F64),0)</f>
        <v>0.76848199747141321</v>
      </c>
    </row>
    <row r="22" spans="1:7" x14ac:dyDescent="0.2">
      <c r="A22" s="11" t="s">
        <v>123</v>
      </c>
      <c r="B22" s="30">
        <f>(31942+107307+41363+32494+21775+107349+16230+109290+27815+124659+1955720+101478+29914+33589+25907+9812+16404+75272+22666+17934+14257+3596+10328+67084+19010+11359+23218+0+17680+29744+39700+401820+12088+9167+17762+0)/1000</f>
        <v>3585.7330000000002</v>
      </c>
      <c r="C22" s="30">
        <f>(0+6699+7383+0+302+0+0+0+0+23851+0+0+0+0+0+0+0+0+0+0+0+0+0+296+3614+284+3873+0+0+19713+0+970+367+285+0+0)/1000</f>
        <v>67.637</v>
      </c>
      <c r="D22" s="30">
        <f>(36116+106937+33730+35057+28240+96662+15977+109502+27950+109778+2037617+101478+30326+33488+25730+9812+16404+69793+22295+18960+14206+0+0+65765+20825+11902+12758+0+17241+14871+37046+354632+11851+9211+19183+0)/1000</f>
        <v>3555.3429999999998</v>
      </c>
      <c r="E22" s="30">
        <f t="shared" si="0"/>
        <v>3622.98</v>
      </c>
      <c r="F22" s="30">
        <f>(38230+115727+38015+37904+26749+93721+0+109654+30328+89086+2269341+91632+29996+0+23184+9812+22359+70199+22583+20385+0+0+0+62982+12901+0+5817+0+16258+33795+37337+375890+8721+9560+18224+0)/1000</f>
        <v>3720.39</v>
      </c>
      <c r="G22" s="18">
        <f>IF(AND(F64&lt;&gt;0,F22&lt;&gt;0),IF(100*F22/F64&lt;0.005,"*",100*F22/F64),0)</f>
        <v>0.59970322444610202</v>
      </c>
    </row>
    <row r="23" spans="1:7" x14ac:dyDescent="0.2">
      <c r="A23" s="11" t="s">
        <v>124</v>
      </c>
      <c r="B23" s="30">
        <f>(91614+227724+97835+39658+60743+230230+31915+161822+53299+268215+7584554+180689+56944+48679+51660+16702+23330+162763+51611+54271+21668+9593+20976+205664+53361+33827+38663+0+27512+60353+36094+696099+17044+12830+30080+0)/1000</f>
        <v>10758.022000000001</v>
      </c>
      <c r="C23" s="30">
        <f>(0+14217+17463+0+843+0+0+0+0+51318+0+0+0+0+0+0+0+0+0+0+0+0+0+908+10145+4306+0+0+0+39998+0+2188+517+389+0+0)/1000</f>
        <v>142.292</v>
      </c>
      <c r="D23" s="30">
        <f>(103585+226939+79781+42786+78776+235048+31861+162140+57865+236197+7909569+180689+57729+49587+51307+16702+22890+152028+50766+57376+21681+0+0+201622+58455+31676+25093+0+26830+30174+42706+623557+16710+12583+32486+0)/1000</f>
        <v>10927.194</v>
      </c>
      <c r="E23" s="30">
        <f t="shared" si="0"/>
        <v>11069.485999999999</v>
      </c>
      <c r="F23" s="30">
        <f>(109649+245592+89916+46261+74618+236499+0+162365+62762+191676+5560974+163159+57100+0+46230+16702+31799+152353+51422+61688+0+0+0+193090+35642+0+0+0+25299+68572+43043+660938+12297+13059+30862+0)/1000</f>
        <v>8443.5669999999991</v>
      </c>
      <c r="G23" s="18">
        <f>IF(AND(F64&lt;&gt;0,F23&lt;&gt;0),IF(100*F23/F64&lt;0.005,"*",100*F23/F64),0)</f>
        <v>1.3610493404526676</v>
      </c>
    </row>
    <row r="24" spans="1:7" x14ac:dyDescent="0.2">
      <c r="A24" s="11" t="s">
        <v>125</v>
      </c>
      <c r="B24" s="30">
        <f>(86009+245747+121829+97851+62912+314807+46089+193041+34327+358807+7939911+163431+64699+42491+50191+13865+25898+185949+34910+17911+22871+23468+24428+359884+55099+37975+43413+2016127+26379+74391+72240+823986+14447+12751+47327+0)/1000</f>
        <v>13755.460999999999</v>
      </c>
      <c r="C24" s="30">
        <f>(0+15343+21746+0+873+0+0+0+0+68651+0+0+0+0+0+0+0+0+0+0+0+0+0+1588+10475+3754+21365+51435+0+49301+0+14004+446+343+0+0)/1000</f>
        <v>259.32400000000001</v>
      </c>
      <c r="D24" s="30">
        <f>(97248+244900+99348+105569+81589+331496+45124+193425+56905+315975+8984463+163431+65591+44592+49849+13865+25411+184189+34338+18936+22876+0+0+352811+60359+35800+14524+0+25725+37192+67336+657367+14434+11081+51113+0)/1000</f>
        <v>12506.861999999999</v>
      </c>
      <c r="E24" s="30">
        <f t="shared" si="0"/>
        <v>12766.186</v>
      </c>
      <c r="F24" s="30">
        <f>(102940+265029+111968+114143+77282+333633+0+193693+61298+256417+9336121+147575+64877+0+44916+13865+35300+184401+34782+20359+0+0+0+337881+36914+0+32087+0+24258+84521+67866+698942+10621+11501+48557+0)/1000</f>
        <v>12751.746999999999</v>
      </c>
      <c r="G24" s="18">
        <f>IF(AND(F64&lt;&gt;0,F24&lt;&gt;0),IF(100*F24/F64&lt;0.005,"*",100*F24/F64),0)</f>
        <v>2.0555005774182029</v>
      </c>
    </row>
    <row r="25" spans="1:7" x14ac:dyDescent="0.2">
      <c r="A25" s="11" t="s">
        <v>126</v>
      </c>
      <c r="B25" s="30">
        <f>(12658+34159+18392+9966+16006+53749+9667+56061+16628+35722+1777811+77863+22067+37792+9058+3019+5634+38146+17986+17352+6509+3590+11884+87779+13160+6187+12960+0+12708+23399+20430+196056+10367+8241+4292+0)/1000</f>
        <v>2687.2979999999998</v>
      </c>
      <c r="C25" s="30">
        <f>(0+2133+3283+0+222+0+0+0+0+6835+0+0+0+0+0+0+0+0+0+0+0+0+0+387+2502+716+3298+0+0+15507+0+0+314+250+0+0)/1000</f>
        <v>35.447000000000003</v>
      </c>
      <c r="D25" s="30">
        <f>(14312+34041+14998+10752+20758+53976+9777+56198+16144+31458+1811222+77863+22371+37449+8996+3019+5634+36390+17691+18345+6506+0+0+86054+14416+5923+8411+0+12393+11699+21863+161495+10164+8082+4636+0)/1000</f>
        <v>2653.0360000000001</v>
      </c>
      <c r="E25" s="30">
        <f t="shared" si="0"/>
        <v>2688.4830000000002</v>
      </c>
      <c r="F25" s="30">
        <f>(15150+36839+16903+11625+19662+53915+0+56276+17442+25528+1787753+70309+22128+0+8106+3019+7680+36534+17920+19723+0+0+0+82412+8770+0+4953+0+11686+26585+22036+183573+7479+8388+4404+0)/1000</f>
        <v>2586.7979999999998</v>
      </c>
      <c r="G25" s="18">
        <f>IF(AND(F64&lt;&gt;0,F25&lt;&gt;0),IF(100*F25/F64&lt;0.005,"*",100*F25/F64),0)</f>
        <v>0.41697539816812956</v>
      </c>
    </row>
    <row r="26" spans="1:7" x14ac:dyDescent="0.2">
      <c r="A26" s="11" t="s">
        <v>127</v>
      </c>
      <c r="B26" s="30">
        <f>(67418+170431+118171+55671+70425+229558+29572+204910+43856+295919+7065053+228342+87866+74104+36159+23301+31076+102715+68848+20658+29411+34439+36683+572635+82511+24213+23043+5200+53543+164124+26307+572833+32390+13987+17617+0)/1000</f>
        <v>10712.989</v>
      </c>
      <c r="C26" s="30">
        <f>(0+10640+21093+0+978+0+0+0+0+56618+0+0+0+0+0+0+0+0+0+0+0+0+0+2527+15687+3526+32085+0+0+108771+0+0+982+424+0+0)/1000</f>
        <v>253.33099999999999</v>
      </c>
      <c r="D26" s="30">
        <f>(76228+169844+96365+60062+91333+233491+29163+205320+44234+260594+7280782+228342+89077+75674+35913+23301+30490+99687+67721+21840+29399+0+0+561381+90388+23701+14560+0+52216+82055+29371+563812+31756+13718+19026+0)/1000</f>
        <v>10730.843999999999</v>
      </c>
      <c r="E26" s="30">
        <f t="shared" si="0"/>
        <v>10984.174999999999</v>
      </c>
      <c r="F26" s="30">
        <f>(80690+183803+108606+64940+86511+236215+0+205604+48135+211475+7295261+206188+88107+0+32359+23301+42357+100241+68596+23481+0+0+0+537624+54587+0+34503+0+49237+186474+29602+597583+23367+14237+18075+0)/1000</f>
        <v>10651.159</v>
      </c>
      <c r="G26" s="18">
        <f>IF(AND(F64&lt;&gt;0,F26&lt;&gt;0),IF(100*F26/F64&lt;0.005,"*",100*F26/F64),0)</f>
        <v>1.7168991413233878</v>
      </c>
    </row>
    <row r="27" spans="1:7" x14ac:dyDescent="0.2">
      <c r="A27" s="11" t="s">
        <v>128</v>
      </c>
      <c r="B27" s="30">
        <f>(62826+195197+82899+66083+64954+243162+37029+290890+50396+671336+9978555+457855+73039+147261+35601+44973+31357+144474+134767+29869+33270+19450+68343+1023415+143539+54610+61003+25138+61159+389707+35868+627682+45469+15319+30757+0)/1000</f>
        <v>15477.252</v>
      </c>
      <c r="C27" s="30">
        <f>(0+12187+14797+0+902+0+0+0+0+128447+0+0+0+0+0+0+0+0+0+0+0+0+0+4516+27290+2302+32684+0+0+258273+0+0+1379+465+0+0)/1000</f>
        <v>483.24200000000002</v>
      </c>
      <c r="D27" s="30">
        <f>(71036+194524+67601+71295+84237+232726+35481+291540+47863+591196+10941833+457855+74045+136486+35358+44973+30765+140358+132560+31578+33285+0+0+1003302+147356+56361+37883+0+59643+194838+39170+569816+44578+15023+33217+0)/1000</f>
        <v>15947.781999999999</v>
      </c>
      <c r="E27" s="30">
        <f t="shared" si="0"/>
        <v>16431.023999999998</v>
      </c>
      <c r="F27" s="30">
        <f>(75194+210513+76189+77086+79791+231354+0+291945+51434+479762+10017259+413434+73240+0+31859+44973+42741+140778+134273+33951+0+0+0+960843+95214+0+49087+0+56240+442775+39479+603940+32803+15593+31556+0)/1000</f>
        <v>14833.306</v>
      </c>
      <c r="G27" s="18">
        <f>IF(AND(F64&lt;&gt;0,F27&lt;&gt;0),IF(100*F27/F64&lt;0.005,"*",100*F27/F64),0)</f>
        <v>2.3910346596447445</v>
      </c>
    </row>
    <row r="28" spans="1:7" x14ac:dyDescent="0.2">
      <c r="A28" s="11" t="s">
        <v>129</v>
      </c>
      <c r="B28" s="30">
        <f>(112152+302154+193840+69597+143834+503276+80402+408891+110553+264782+12568266+772795+170256+158040+84094+32082+48724+330108+124327+114946+48587+18220+58470+372839+62645+31837+24297+0+117114+152156+67440+1103616+57583+25662+46616+0)/1000</f>
        <v>18780.201000000001</v>
      </c>
      <c r="C28" s="30">
        <f>(0+18864+34599+0+1997+0+0+0+0+50661+0+0+0+0+0+0+0+0+0+0+0+0+0+1645+11910+851+96943+0+0+100840+0+0+1746+778+0+0)/1000</f>
        <v>320.834</v>
      </c>
      <c r="D28" s="30">
        <f>(126807+301113+158070+75086+186535+478922+76767+409735+110872+233174+13312472+772795+172601+156604+83520+32082+48724+316756+122292+121523+48514+0+0+365511+68625+32796+30475+0+114212+76072+66545+987848+56455+25157+50345+0)/1000</f>
        <v>19219.005000000001</v>
      </c>
      <c r="E28" s="30">
        <f t="shared" si="0"/>
        <v>19539.839</v>
      </c>
      <c r="F28" s="30">
        <f>(134230+325862+178151+81185+176688+472078+0+410304+120632+189223+13871596+697818+170724+0+75256+32082+66412+316892+123871+130656+0+0+0+350043+41792+0+96551+0+107696+172876+67068+1047030+41543+26110+47828+0)/1000</f>
        <v>19572.197</v>
      </c>
      <c r="G28" s="18">
        <f>IF(AND(F64&lt;&gt;0,F28&lt;&gt;0),IF(100*F28/F64&lt;0.005,"*",100*F28/F64),0)</f>
        <v>3.1549137725868319</v>
      </c>
    </row>
    <row r="29" spans="1:7" x14ac:dyDescent="0.2">
      <c r="A29" s="11" t="s">
        <v>130</v>
      </c>
      <c r="B29" s="30">
        <f>(53066+169678+98825+65355+68524+162901+27707+194282+50053+115190+6930018+260597+128160+114628+38301+23368+29811+107292+53344+31635+26880+9269+26126+241125+44663+29815+46280+0+43078+206102+39528+669472+24392+14747+26711+0)/1000</f>
        <v>10170.923000000001</v>
      </c>
      <c r="C29" s="30">
        <f>(0+10593+17640+0+951+0+0+0+0+22039+0+0+0+0+0+0+0+0+0+0+0+0+0+1064+8491+1585+12278+0+0+136591+0+347+746+447+0+0)/1000</f>
        <v>212.77199999999999</v>
      </c>
      <c r="D29" s="30">
        <f>(60000+169093+80589+70510+88867+166935+27272+194672+49448+101439+7955963+259826+129925+113589+38040+23368+29250+100391+52471+33445+26973+0+0+236386+48927+31255+23051+0+42010+103042+46276+605319+24133+14463+28848+0)/1000</f>
        <v>10975.776</v>
      </c>
      <c r="E29" s="30">
        <f t="shared" si="0"/>
        <v>11188.548000000001</v>
      </c>
      <c r="F29" s="30">
        <f>(63512+182991+90826+76237+84176+168241+0+194942+53925+82319+8369470+234618+128512+0+34276+23368+40632+100661+53148+35958+0+0+0+226382+29960+0+18333+0+39614+234167+46640+648506+17758+15011+27406+0)/1000</f>
        <v>11321.589</v>
      </c>
      <c r="G29" s="18">
        <f>IF(AND(F64&lt;&gt;0,F29&lt;&gt;0),IF(100*F29/F64&lt;0.005,"*",100*F29/F64),0)</f>
        <v>1.8249681966550599</v>
      </c>
    </row>
    <row r="30" spans="1:7" x14ac:dyDescent="0.2">
      <c r="A30" s="11" t="s">
        <v>131</v>
      </c>
      <c r="B30" s="30">
        <f>(64500+173633+82843+46066+30526+199342+30142+122648+42782+316825+4227454+86481+26419+29710+39442+6293+16422+206712+26783+12471+14652+22972+17571+163300+40011+16375+24689+0+23238+36282+31297+543542+12066+8534+24600+0)/1000</f>
        <v>6766.6229999999996</v>
      </c>
      <c r="C30" s="30">
        <f>(0+10840+14787+0+424+0+0+0+0+60618+0+0+0+0+0+0+0+0+0+0+0+0+0+721+7607+308+3539+0+0+24045+0+0+366+259+0+0)/1000</f>
        <v>123.514</v>
      </c>
      <c r="D30" s="30">
        <f>(72928+173035+67556+49699+39588+205237+29731+122891+44016+279004+4403344+86481+26783+30122+39173+6293+16422+200821+26344+13185+14604+0+0+160091+43831+16437+15087+0+22662+18139+36624+448804+11829+8369+26568+0)/1000</f>
        <v>6755.6980000000003</v>
      </c>
      <c r="E30" s="30">
        <f t="shared" si="0"/>
        <v>6879.2120000000004</v>
      </c>
      <c r="F30" s="30">
        <f>(77197+187257+76138+53736+37499+204577+0+123061+47406+226415+4643092+78091+26492+0+35296+6293+22383+201789+26685+14176+0+0+0+153316+26600+0+4650+0+21369+41222+36913+480997+8705+8686+25240+0)/1000</f>
        <v>6895.2809999999999</v>
      </c>
      <c r="G30" s="18">
        <f>IF(AND(F64&lt;&gt;0,F30&lt;&gt;0),IF(100*F30/F64&lt;0.005,"*",100*F30/F64),0)</f>
        <v>1.111475476808061</v>
      </c>
    </row>
    <row r="31" spans="1:7" x14ac:dyDescent="0.2">
      <c r="A31" s="11" t="s">
        <v>132</v>
      </c>
      <c r="B31" s="30">
        <f>(76689+210388+86179+51516+48582+250521+35123+232782+67397+175197+6678010+216335+65261+73694+53776+24669+31384+169331+74837+37365+29789+22273+25235+258332+25093+27119+36481+39317+39101+129752+57710+1025986+37125+16637+33043+0)/1000</f>
        <v>10462.029</v>
      </c>
      <c r="C31" s="30">
        <f>(0+13135+15382+0+674+0+0+0+0+33520+0+0+0+0+0+0+0+0+0+0+0+0+0+1140+4771+544+44633+0+0+85992+0+5027+1126+505+0+0)/1000</f>
        <v>206.44900000000001</v>
      </c>
      <c r="D31" s="30">
        <f>(86710+209663+70276+55579+63005+240155+35083+233262+69555+154283+7766641+216335+66160+74944+53410+24669+31384+164132+73611+39502+29773+0+0+253255+27489+27661+21037+0+38132+64871+60880+883698+36398+16316+35686+0)/1000</f>
        <v>11223.555</v>
      </c>
      <c r="E31" s="30">
        <f t="shared" si="0"/>
        <v>11430.004000000001</v>
      </c>
      <c r="F31" s="30">
        <f>(91786+226896+79204+60093+59679+239147+0+233586+75521+125202+7847240+195347+65440+0+48124+24669+42776+164163+74562+42471+0+0+0+242538+16988+0+36502+0+35957+147421+61359+941830+26784+16934+33902+0)/1000</f>
        <v>11256.120999999999</v>
      </c>
      <c r="G31" s="18">
        <f>IF(AND(F64&lt;&gt;0,F31&lt;&gt;0),IF(100*F31/F64&lt;0.005,"*",100*F31/F64),0)</f>
        <v>1.8144151711125664</v>
      </c>
    </row>
    <row r="32" spans="1:7" x14ac:dyDescent="0.2">
      <c r="A32" s="11" t="s">
        <v>133</v>
      </c>
      <c r="B32" s="30">
        <f>(9643+28106+16457+11013+10605+47679+9667+38466+12134+103532+1482546+37889+13018+19367+8062+3191+5255+33966+19044+8179+5058+2860+11016+35332+5118+2721+1117+0+8786+29965+40873+432911+6574+8241+4819+0)/1000</f>
        <v>2513.21</v>
      </c>
      <c r="C32" s="30">
        <f>(0+1755+2937+0+147+0+0+0+0+19809+0+0+0+0+0+0+0+0+0+0+0+0+0+156+973+300+6423+0+0+19859+0+0+199+250+0+0)/1000</f>
        <v>52.808</v>
      </c>
      <c r="D32" s="30">
        <f>(10903+28009+13420+11882+13753+47659+9777+38577+11793+91173+1569406+37889+13197+19208+8007+3191+5157+31884+18732+8647+5094+0+0+34637+5607+2772+4438+0+8568+14981+39107+384133+6446+8082+5205+0)/1000</f>
        <v>2511.3339999999998</v>
      </c>
      <c r="E32" s="30">
        <f t="shared" si="0"/>
        <v>2564.1419999999998</v>
      </c>
      <c r="F32" s="30">
        <f>(11541+30311+15125+12847+13027+47562+0+38638+12870+73988+1629704+34213+13053+0+7215+3191+7163+31675+18974+9297+0+0+0+33172+3420+0+1055+0+8079+34046+39414+408040+4743+8388+4944+0)/1000</f>
        <v>2555.6950000000002</v>
      </c>
      <c r="G32" s="18">
        <f>IF(AND(F64&lt;&gt;0,F32&lt;&gt;0),IF(100*F32/F64&lt;0.005,"*",100*F32/F64),0)</f>
        <v>0.41196179223166945</v>
      </c>
    </row>
    <row r="33" spans="1:7" x14ac:dyDescent="0.2">
      <c r="A33" s="11" t="s">
        <v>134</v>
      </c>
      <c r="B33" s="30">
        <f>(18915+74008+34497+31787+17782+74826+9904+76529+18665+72490+1145760+56642+28129+29375+15608+10595+10811+51443+19411+17890+9285+6306+11381+69567+13432+9979+8354+0+13724+14218+33905+315014+6850+8312+8080+0)/1000</f>
        <v>2343.4740000000002</v>
      </c>
      <c r="C33" s="30">
        <f>(0+4621+6157+0+247+0+0+0+0+13870+0+0+0+0+0+0+0+0+0+0+0+0+0+307+2554+241+10468+0+0+9423+0+0+208+250+0+0)/1000</f>
        <v>48.345999999999997</v>
      </c>
      <c r="D33" s="30">
        <f>(21387+73753+28131+34294+23061+72490+9975+76688+18162+63837+1263492+56627+28517+29134+15502+10595+10811+49509+19094+18914+9319+0+0+68199+14715+9184+10250+0+13384+7109+36781+271199+6715+8082+8727+0)/1000</f>
        <v>2387.6370000000002</v>
      </c>
      <c r="E33" s="30">
        <f t="shared" si="0"/>
        <v>2435.9830000000002</v>
      </c>
      <c r="F33" s="30">
        <f>(22639+79815+31705+37080+21844+71686+0+76795+19737+51804+1272138+51133+28207+0+13968+10595+14735+49586+19340+20335+0+0+0+65313+9228+0+1019+0+12620+16154+37071+287453+4942+8388+8291+0)/1000</f>
        <v>2343.6210000000001</v>
      </c>
      <c r="G33" s="18">
        <f>IF(AND(F64&lt;&gt;0,F33&lt;&gt;0),IF(100*F33/F64&lt;0.005,"*",100*F33/F64),0)</f>
        <v>0.37777681118904149</v>
      </c>
    </row>
    <row r="34" spans="1:7" x14ac:dyDescent="0.2">
      <c r="A34" s="11" t="s">
        <v>135</v>
      </c>
      <c r="B34" s="30">
        <f>(40705+100843+51922+12651+26245+129758+10496+75942+16381+69978+2868938+43762+42423+10214+25644+2580+15485+38867+48836+33546+14155+10592+12834+145253+14398+4076+28307+0+24123+116737+35093+363253+6574+11753+7588+0)/1000</f>
        <v>4459.9520000000002</v>
      </c>
      <c r="C34" s="30">
        <f>(0+6296+9268+0+364+0+0+0+0+13389+0+0+0+0+0+0+0+0+0+0+0+0+0+641+2737+69+3264+0+0+77366+0+10772+199+356+0+0)/1000</f>
        <v>124.721</v>
      </c>
      <c r="D34" s="30">
        <f>(46024+100495+42341+13649+34037+126495+11706+77213+27278+61624+2908779+43762+43007+10197+25469+2580+15197+37821+48036+35466+14366+0+0+142398+15773+5058+13319+0+23525+58364+43761+341354+6446+11527+8195+0)/1000</f>
        <v>4395.2619999999997</v>
      </c>
      <c r="E34" s="30">
        <f t="shared" si="0"/>
        <v>4519.9830000000002</v>
      </c>
      <c r="F34" s="30">
        <f>(48718+108755+47720+14757+32240+127944+0+77839+30671+50009+3052796+39517+42539+0+22949+2580+21107+37396+48657+38131+0+0+0+136372+9517+0+0+0+22183+132634+44105+361808+4743+11963+7785+0)/1000</f>
        <v>4575.4350000000004</v>
      </c>
      <c r="G34" s="18">
        <f>IF(AND(F64&lt;&gt;0,F34&lt;&gt;0),IF(100*F34/F64&lt;0.005,"*",100*F34/F64),0)</f>
        <v>0.73753104452585638</v>
      </c>
    </row>
    <row r="35" spans="1:7" x14ac:dyDescent="0.2">
      <c r="A35" s="11" t="s">
        <v>136</v>
      </c>
      <c r="B35" s="30">
        <f>(5246+22101+10181+4778+9831+43015+9667+48627+10801+38242+1297338+38394+15737+28572+5950+4582+5840+19648+12633+3121+6515+1464+11721+86893+10849+5172+10039+0+11477+22032+14580+178114+13383+8241+3119+0)/1000</f>
        <v>2017.903</v>
      </c>
      <c r="C35" s="30">
        <f>(0+1380+1817+0+136+0+0+0+0+7317+0+0+0+0+0+0+0+0+0+0+0+0+0+383+2063+102+9406+0+0+14601+0+1751+406+250+0+0)/1000</f>
        <v>39.612000000000002</v>
      </c>
      <c r="D35" s="30">
        <f>(5932+22025+8302+5155+12750+38883+9777+48734+10707+33677+1323354+38394+15953+25886+5909+4582+5729+18278+12427+3299+6522+0+0+85186+11885+5630+6465+0+11192+11015+10516+155129+13121+8082+3368+0)/1000</f>
        <v>1977.864</v>
      </c>
      <c r="E35" s="30">
        <f t="shared" si="0"/>
        <v>2017.4760000000001</v>
      </c>
      <c r="F35" s="30">
        <f>(6279+23835+9357+5574+12077+38463+0+48802+11594+27329+1391204+34669+15780+0+5325+4582+7960+18362+12587+3547+0+0+0+81581+7230+0+2077+0+10554+25032+10599+164425+9655+8388+3200+0)/1000</f>
        <v>2000.067</v>
      </c>
      <c r="G35" s="18">
        <f>IF(AND(F64&lt;&gt;0,F35&lt;&gt;0),IF(100*F35/F64&lt;0.005,"*",100*F35/F64),0)</f>
        <v>0.32239808971861605</v>
      </c>
    </row>
    <row r="36" spans="1:7" x14ac:dyDescent="0.2">
      <c r="A36" s="11" t="s">
        <v>137</v>
      </c>
      <c r="B36" s="30">
        <f>(95466+259669+148407+79788+158500+363036+46558+370398+61751+462889+9399266+402702+199993+120269+51269+26374+45477+168841+93137+73765+43864+42108+77560+764227+148515+64748+58298+1287693+107956+482746+19792+817948+54726+15680+58883+0)/1000</f>
        <v>16672.298999999999</v>
      </c>
      <c r="C36" s="30">
        <f>(0+16212+26490+0+2201+0+0+0+0+88565+0+0+0+0+0+0+0+0+0+0+0+0+0+3372+28236+2983+38255+0+0+319934+0+2713+1659+476+0+0)/1000</f>
        <v>531.096</v>
      </c>
      <c r="D36" s="30">
        <f>(107941+258774+121021+86081+205555+357730+46008+371227+60807+407632+9999183+402702+202749+117768+50919+26374+44614+168204+91613+77985+43706+0+0+749207+152807+66580+31416+0+105280+241353+23226+936932+53654+15377+63594+0)/1000</f>
        <v>15688.019</v>
      </c>
      <c r="E36" s="30">
        <f t="shared" si="0"/>
        <v>16219.115</v>
      </c>
      <c r="F36" s="30">
        <f>(114259+280043+136395+93073+194704+358229+0+371742+65902+330798+10711468+363631+200543+0+45880+26374+61985+168334+92796+83846+0+0+0+717502+98878+0+44374+0+99274+548484+23409+993043+39481+15960+60414+0)/1000</f>
        <v>16340.821</v>
      </c>
      <c r="G36" s="18">
        <f>IF(AND(F64&lt;&gt;0,F36&lt;&gt;0),IF(100*F36/F64&lt;0.005,"*",100*F36/F64),0)</f>
        <v>2.6340364971942667</v>
      </c>
    </row>
    <row r="37" spans="1:7" x14ac:dyDescent="0.2">
      <c r="A37" s="11" t="s">
        <v>138</v>
      </c>
      <c r="B37" s="30">
        <f>(43694+101490+39198+32722+27746+119120+16048+93352+24975+136040+3858468+109920+30593+17653+24267+8308+11518+69113+20873+21039+10210+4274+11973+79016+11058+5922+5040+0+13679+29611+30104+388655+8124+9300+27226+0)/1000</f>
        <v>5440.3289999999997</v>
      </c>
      <c r="C37" s="30">
        <f>(0+6336+6997+0+385+0+0+0+0+26029+0+0+0+0+0+0+0+0+0+0+0+0+0+349+2102+404+15671+0+0+19624+0+0+199+250+0+0)/1000</f>
        <v>78.346000000000004</v>
      </c>
      <c r="D37" s="30">
        <f>(49404+101140+31965+35303+35983+126262+16318+93545+25653+119800+4313744+109920+31015+17357+24101+8308+11298+67862+20531+22242+10169+0+0+77463+12114+6028+7222+0+13340+14804+32549+338927+6446+8082+29404+0)/1000</f>
        <v>5818.299</v>
      </c>
      <c r="E37" s="30">
        <f t="shared" si="0"/>
        <v>5896.6450000000004</v>
      </c>
      <c r="F37" s="30">
        <f>(52295+109453+36025+38170+34084+127140+0+93674+27978+97219+4440315+99255+30677+0+21716+8308+15699+68118+20796+23914+0+0+0+74185+7422+0+7999+0+12579+33643+32806+365212+4743+8388+27934+0)/1000</f>
        <v>5919.7470000000003</v>
      </c>
      <c r="G37" s="18">
        <f>IF(AND(F64&lt;&gt;0,F37&lt;&gt;0),IF(100*F37/F64&lt;0.005,"*",100*F37/F64),0)</f>
        <v>0.95422559565129983</v>
      </c>
    </row>
    <row r="38" spans="1:7" x14ac:dyDescent="0.2">
      <c r="A38" s="11" t="s">
        <v>139</v>
      </c>
      <c r="B38" s="30">
        <f>(232307+708843+519757+240347+360045+1201705+165756+777344+155365+1233546+38531701+2434870+285064+366923+128772+101983+96827+555545+486191+116998+96932+180180+343674+2510335+894873+395487+63010+3919558+175873+1366538+106607+1579237+147822+39558+81876+0)/1000</f>
        <v>60601.449000000001</v>
      </c>
      <c r="C38" s="30">
        <f>(0+44255+92773+0+4999+0+0+0+0+236014+0+0+0+0+0+0+0+0+0+0+0+0+0+11077+170134+12396+259685+0+0+905654+0+16165+4482+1200+0+0)/1000</f>
        <v>1758.8340000000001</v>
      </c>
      <c r="D38" s="30">
        <f>(262663+706400+423845+259304+466934+1185583+157302+779028+145642+1086293+45163703+2434870+288993+363598+127895+101983+94997+550627+478229+123692+96483+0+0+2460999+980305+402662+46454+0+171514+683213+107213+1575826+144923+38795+88426+0)/1000</f>
        <v>61998.394</v>
      </c>
      <c r="E38" s="30">
        <f t="shared" ref="E38:E63" si="1">SUM(C38:D38)</f>
        <v>63757.228000000003</v>
      </c>
      <c r="F38" s="30">
        <f>(278038+764460+477689+280365+442285+1191670+0+780108+157233+881538+46524750+2198638+285849+0+115239+101983+131977+552337+484406+132988+0+0+0+2356852+591420+0+321511+0+161729+1552624+108057+1670201+106640+40265+84005+0)/1000</f>
        <v>62774.857000000004</v>
      </c>
      <c r="G38" s="18">
        <f>IF(AND(F64&lt;&gt;0,F38&lt;&gt;0),IF(100*F38/F64&lt;0.005,"*",100*F38/F64),0)</f>
        <v>10.118908006161439</v>
      </c>
    </row>
    <row r="39" spans="1:7" x14ac:dyDescent="0.2">
      <c r="A39" s="11" t="s">
        <v>140</v>
      </c>
      <c r="B39" s="30">
        <f>(138821+387631+196478+94741+119611+448755+45151+345041+110157+479489+9411458+300438+107403+84289+96486+69639+52552+209945+98865+63978+49176+45663+42951+377538+103603+46431+51809+198553+53531+163101+116244+1146693+24170+19283+81760+0)/1000</f>
        <v>15381.433999999999</v>
      </c>
      <c r="C39" s="30">
        <f>(0+24201+35070+0+1661+0+0+0+0+91741+0+0+0+0+0+0+0+0+0+0+0+0+0+1666+19697+2177+23513+37976+0+108093+0+22319+733+585+0+0)/1000</f>
        <v>369.43200000000002</v>
      </c>
      <c r="D39" s="30">
        <f>(156961+386295+160222+102213+155121+441874+48564+345653+114574+422251+9800796+300438+108883+88581+95828+69639+51559+207649+97247+67638+49581+0+0+370118+113494+47929+30894+0+52204+81544+81532+979939+23696+18910+88300+0)/1000</f>
        <v>15160.127</v>
      </c>
      <c r="E39" s="30">
        <f t="shared" si="1"/>
        <v>15529.559000000001</v>
      </c>
      <c r="F39" s="30">
        <f>(166149+418045+180575+110515+146932+442680+0+346133+125952+342661+9560745+271289+107698+0+86345+69639+71629+206406+98503+72721+0+0+0+354455+68829+0+35314+0+49226+185312+82174+1038678+17437+19627+83885+0)/1000</f>
        <v>14759.554</v>
      </c>
      <c r="G39" s="18">
        <f>IF(AND(F64&lt;&gt;0,F39&lt;&gt;0),IF(100*F39/F64&lt;0.005,"*",100*F39/F64),0)</f>
        <v>2.3791463059481295</v>
      </c>
    </row>
    <row r="40" spans="1:7" x14ac:dyDescent="0.2">
      <c r="A40" s="11" t="s">
        <v>141</v>
      </c>
      <c r="B40" s="30">
        <f>(5524+21036+11032+10369+10444+36835+9667+30475+10404+21887+940769+26313+16215+19377+4453+2506+4186+22224+12601+6723+3706+714+8932+37073+2996+2773+4640+3461+13689+12476+81799+254868+6574+8241+1731+0)/1000</f>
        <v>1666.713</v>
      </c>
      <c r="C40" s="30">
        <f>(0+1313+1969+0+145+0+0+0+0+4188+0+0+0+0+0+0+0+0+0+0+0+0+0+164+570+347+371+0+0+8268+0+919+199+250+0+0)/1000</f>
        <v>18.702999999999999</v>
      </c>
      <c r="D40" s="30">
        <f>(6246+20963+8996+11187+13545+37716+9777+31010+10616+19274+941778+26313+16438+19217+4423+2506+4110+21987+12395+7107+3704+0+0+36345+3282+2384+3011+0+13350+6237+61442+232997+6446+8082+1870+0)/1000</f>
        <v>1604.7539999999999</v>
      </c>
      <c r="E40" s="30">
        <f t="shared" si="1"/>
        <v>1623.4569999999999</v>
      </c>
      <c r="F40" s="30">
        <f>(6611+22687+10139+12095+12830+37746+0+31522+11594+15641+876301+23760+16259+0+3985+2506+5706+22090+12555+7641+0+0+0+34807+2099+0+558+0+12589+14174+61926+246961+4743+8388+1776+0)/1000</f>
        <v>1519.6890000000001</v>
      </c>
      <c r="G40" s="18">
        <f>IF(AND(F64&lt;&gt;0,F40&lt;&gt;0),IF(100*F40/F64&lt;0.005,"*",100*F40/F64),0)</f>
        <v>0.24496420898219601</v>
      </c>
    </row>
    <row r="41" spans="1:7" x14ac:dyDescent="0.2">
      <c r="A41" s="11" t="s">
        <v>142</v>
      </c>
      <c r="B41" s="30">
        <f>(126494+372934+161363+90350+109270+554604+76021+447005+104755+409310+16478815+725566+201643+148254+96109+70124+59711+345844+221682+157961+56866+22676+50282+570763+169618+71379+102951+0+78856+144729+96829+1431577+75392+22929+69503+0)/1000</f>
        <v>23922.165000000001</v>
      </c>
      <c r="C41" s="30">
        <f>(0+23283+28802+0+1517+0+0+0+0+78313+0+0+0+0+0+0+0+0+0+0+0+0+0+2519+32248+4110+59723+0+0+95917+0+17418+2286+695+0+0)/1000</f>
        <v>346.83100000000002</v>
      </c>
      <c r="D41" s="30">
        <f>(143023+371649+131586+97476+141710+543691+75076+447895+131522+360449+16764297+725566+204423+146910+95454+70124+58581+332283+218052+166999+56752+0+0+559546+185812+71914+77174+0+76902+72359+74429+1257406+73915+22467+75064+0)/1000</f>
        <v>23830.506000000001</v>
      </c>
      <c r="E41" s="30">
        <f t="shared" si="1"/>
        <v>24177.337</v>
      </c>
      <c r="F41" s="30">
        <f>(151395+402195+148303+105393+134229+543343+0+448517+142595+292508+17637034+655171+202198+0+86008+70124+81386+333221+220869+179549+0+0+0+535866+112249+0+26789+0+19806+164438+75014+1334134+54391+23318+71311+0)/1000</f>
        <v>24251.353999999999</v>
      </c>
      <c r="G41" s="18">
        <f>IF(AND(F64&lt;&gt;0,F41&lt;&gt;0),IF(100*F41/F64&lt;0.005,"*",100*F41/F64),0)</f>
        <v>3.9091641443461231</v>
      </c>
    </row>
    <row r="42" spans="1:7" x14ac:dyDescent="0.2">
      <c r="A42" s="11" t="s">
        <v>143</v>
      </c>
      <c r="B42" s="30">
        <f>(60387+169155+63391+59490+49333+168312+23478+152014+41741+248980+2983507+144793+57163+32985+39418+24910+22440+118344+57083+66977+19152+8497+24903+140345+35330+15918+25074+38939+21539+52146+41925+671093+11642+13751+40707+0)/1000</f>
        <v>5744.8620000000001</v>
      </c>
      <c r="C42" s="30">
        <f>(0+10561+11315+0+685+0+0+0+0+47637+0+0+0+0+0+0+0+0+0+0+0+0+0+619+6717+880+0+0+0+34559+0+3501+328+403+0+0)/1000</f>
        <v>117.205</v>
      </c>
      <c r="D42" s="30">
        <f>(68278+168572+51693+64182+63979+184731+24368+152304+41388+219258+3013817+144793+57950+34124+39149+24910+22020+116896+56149+70809+19172+0+0+137586+38703+16363+15836+0+21005+26071+37285+594630+10608+13022+43964+0)/1000</f>
        <v>5593.6149999999998</v>
      </c>
      <c r="E42" s="30">
        <f t="shared" si="1"/>
        <v>5710.82</v>
      </c>
      <c r="F42" s="30">
        <f>(72275+182427+58260+69395+60601+186075+0+152516+44807+177930+3222874+130745+57320+0+35275+24910+30586+116395+56874+76130+0+0+0+131764+23677+0+0+0+19806+59247+37579+630975+7806+13516+41765+0)/1000</f>
        <v>5721.53</v>
      </c>
      <c r="G42" s="18">
        <f>IF(AND(F64&lt;&gt;0,F42&lt;&gt;0),IF(100*F42/F64&lt;0.005,"*",100*F42/F64),0)</f>
        <v>0.92227427494566583</v>
      </c>
    </row>
    <row r="43" spans="1:7" x14ac:dyDescent="0.2">
      <c r="A43" s="11" t="s">
        <v>144</v>
      </c>
      <c r="B43" s="30">
        <f>(38465+114981+73977+35075+88099+151710+19745+131857+44917+249774+6514146+166244+73523+35323+32418+19409+19853+96695+100926+42765+19728+6478+31284+250237+18627+8760+28180+0+47787+158475+48987+477987+15128+11705+17641+0)/1000</f>
        <v>9190.9060000000009</v>
      </c>
      <c r="C43" s="30">
        <f>(0+7179+13204+0+1223+0+0+0+0+47789+0+0+0+0+0+0+0+0+0+0+0+0+0+1104+3541+966+4775+0+0+105027+0+10941+459+355+0+0)/1000</f>
        <v>196.56299999999999</v>
      </c>
      <c r="D43" s="30">
        <f>(43491+114585+60326+37841+114254+144779+19786+132112+42055+219957+7681487+166244+74536+34999+32197+19409+19482+89019+99274+45212+20002+0+0+245319+20405+8682+17560+0+46603+79231+50268+468841+14832+11480+19053+0)/1000</f>
        <v>10193.321</v>
      </c>
      <c r="E43" s="30">
        <f t="shared" si="1"/>
        <v>10389.884</v>
      </c>
      <c r="F43" s="30">
        <f>(46037+124003+67989+40915+108222+143213+0+132295+46324+178498+7770054+150115+73725+0+29011+19409+27060+89010+100556+48609+0+0+0+234938+12373+0+7172+0+43944+180055+50664+497804+10914+11914+18100+0)/1000</f>
        <v>10262.923000000001</v>
      </c>
      <c r="G43" s="18">
        <f>IF(AND(F64&lt;&gt;0,F43&lt;&gt;0),IF(100*F43/F64&lt;0.005,"*",100*F43/F64),0)</f>
        <v>1.6543179654127826</v>
      </c>
    </row>
    <row r="44" spans="1:7" x14ac:dyDescent="0.2">
      <c r="A44" s="11" t="s">
        <v>145</v>
      </c>
      <c r="B44" s="30">
        <f>(117436+386089+200394+118096+193615+618405+82832+436337+131563+527349+17742316+717125+170625+209329+84195+55337+61158+317665+230720+104476+62689+39358+92839+632446+279236+115255+46603+21061+121041+388502+84267+1765134+53048+26351+61844+0)/1000</f>
        <v>26294.736000000001</v>
      </c>
      <c r="C44" s="30">
        <f>(0+24105+35769+0+2688+0+0+0+0+100898+0+0+0+0+0+0+0+0+0+0+0+0+0+2791+53089+6447+148352+0+0+257475+0+0+1609+799+0+0)/1000</f>
        <v>634.02200000000005</v>
      </c>
      <c r="D44" s="30">
        <f>(132782+384758+163415+127410+251095+630278+80383+437212+126921+464397+19499035+717125+172976+198483+83620+55337+60002+307165+226942+110453+62469+0+0+620016+296008+112867+37391+0+118041+194235+70881+1539419+52008+25843+66792+0)/1000</f>
        <v>27425.758999999998</v>
      </c>
      <c r="E44" s="30">
        <f t="shared" si="1"/>
        <v>28059.780999999999</v>
      </c>
      <c r="F44" s="30">
        <f>(140554+416382+184175+137759+237840+633028+0+437818+136864+376863+21194279+647549+171094+0+75346+55337+83360+307449+229874+118754+0+0+0+593778+184660+0+167224+0+111306+441406+71439+1631654+38271+26821+63452+0)/1000</f>
        <v>28914.335999999999</v>
      </c>
      <c r="G44" s="18">
        <f>IF(AND(F64&lt;&gt;0,F44&lt;&gt;0),IF(100*F44/F64&lt;0.005,"*",100*F44/F64),0)</f>
        <v>4.6608072088996062</v>
      </c>
    </row>
    <row r="45" spans="1:7" x14ac:dyDescent="0.2">
      <c r="A45" s="11" t="s">
        <v>146</v>
      </c>
      <c r="B45" s="30">
        <f>(10282+31243+20365+9770+9789+52978+9667+44810+10936+72828+1664801+94708+10672+25313+6599+6634+4759+31405+13286+7057+5172+6079+17136+85824+32610+13761+17144+5253+13539+47401+11564+212113+8992+8241+4097+0)/1000</f>
        <v>2626.828</v>
      </c>
      <c r="C45" s="30">
        <f>(0+1951+3635+0+136+0+0+0+0+13934+0+0+0+0+0+0+0+0+0+0+0+0+0+379+6200+1276+7806+0+0+31415+0+0+273+250+0+0)/1000</f>
        <v>67.254999999999995</v>
      </c>
      <c r="D45" s="30">
        <f>(11626+31135+16607+10541+12695+51703+9777+44912+10616+64134+1807675+94708+10819+24860+6554+6634+4668+29708+13068+7461+5162+0+0+84137+35723+13951+8067+0+13204+23699+26822+201913+8816+8082+4425+0)/1000</f>
        <v>2703.902</v>
      </c>
      <c r="E45" s="30">
        <f t="shared" si="1"/>
        <v>2771.1570000000002</v>
      </c>
      <c r="F45" s="30">
        <f>(12306+33694+18717+11397+12025+51095+0+44974+11594+52046+1853704+85519+10701+0+5905+6634+6486+29775+13237+8022+0+0+0+80576+21625+0+4209+0+12451+53856+27033+217491+6487+8388+4203+0)/1000</f>
        <v>2704.15</v>
      </c>
      <c r="G45" s="18">
        <f>IF(AND(F64&lt;&gt;0,F45&lt;&gt;0),IF(100*F45/F64&lt;0.005,"*",100*F45/F64),0)</f>
        <v>0.43589179478117257</v>
      </c>
    </row>
    <row r="46" spans="1:7" x14ac:dyDescent="0.2">
      <c r="A46" s="11" t="s">
        <v>147</v>
      </c>
      <c r="B46" s="30">
        <f>(78041+204310+98786+35607+28531+242153+25719+181258+63659+154192+4466748+99638+42831+35715+50746+9867+24675+116002+44354+19400+23974+24265+23613+162242+46670+26002+31517+221969+26837+53440+61503+791372+13720+8241+32450+0)/1000</f>
        <v>7570.0469999999996</v>
      </c>
      <c r="C46" s="30">
        <f>(0+12756+17633+0+396+0+0+0+0+29502+0+0+0+0+0+0+0+0+0+0+0+0+0+716+8873+1057+7426+78110+0+35417+0+13557+416+250+0+0)/1000</f>
        <v>206.10900000000001</v>
      </c>
      <c r="D46" s="30">
        <f>(88239+203606+80557+38415+37001+236713+26950+181622+61164+135785+4595111+99638+43421+35654+50400+9867+24675+114897+43628+20510+24242+0+0+159053+51126+22051+17428+0+26172+26718+63646+629136+13451+8082+35046+0)/1000</f>
        <v>7204.0039999999999</v>
      </c>
      <c r="E46" s="30">
        <f t="shared" si="1"/>
        <v>7410.1130000000003</v>
      </c>
      <c r="F46" s="30">
        <f>(93404+220341+90790+41536+35048+237075+0+181874+67146+110191+4556651+89971+42948+0+45413+9867+33632+114578+44191+22051+0+0+0+152323+30959+0+11153+0+24679+60717+64147+666859+9898+8388+33294+0)/1000</f>
        <v>7099.1239999999998</v>
      </c>
      <c r="G46" s="18">
        <f>IF(AND(F64&lt;&gt;0,F46&lt;&gt;0),IF(100*F46/F64&lt;0.005,"*",100*F46/F64),0)</f>
        <v>1.144333672959746</v>
      </c>
    </row>
    <row r="47" spans="1:7" x14ac:dyDescent="0.2">
      <c r="A47" s="11" t="s">
        <v>148</v>
      </c>
      <c r="B47" s="30">
        <f>(7596+28823+17698+8496+8577+46747+9667+36304+10903+26939+531828+21207+8783+17396+7205+1711+5017+25972+6876+4608+4204+915+8131+30816+2638+2281+6471+0+5014+15731+28595+301059+6574+8241+3795+0)/1000</f>
        <v>1256.818</v>
      </c>
      <c r="C47" s="30">
        <f>(0+1799+3159+0+119+0+0+0+0+5154+0+0+0+0+0+0+0+0+0+0+0+0+0+136+502+850+0+0+0+10426+0+0+199+250+0+0)/1000</f>
        <v>22.594000000000001</v>
      </c>
      <c r="D47" s="30">
        <f>(8589+28724+14432+9166+11123+47523+9777+36436+10616+23723+583350+21207+8904+17331+7156+1711+4923+24660+6764+4872+4229+0+0+30210+2890+2730+4200+0+4889+7865+25847+263180+6446+8082+4099+0)/1000</f>
        <v>1245.654</v>
      </c>
      <c r="E47" s="30">
        <f t="shared" si="1"/>
        <v>1268.248</v>
      </c>
      <c r="F47" s="30">
        <f>(9091+31085+16266+9911+10536+47523+0+36498+11594+19252+640309+19150+8807+0+6448+1711+6838+24791+6851+5238+0+0+0+28932+1859+0+0+0+4610+17873+26050+280458+4743+8388+3894+0)/1000</f>
        <v>1288.7059999999999</v>
      </c>
      <c r="G47" s="18">
        <f>IF(AND(F64&lt;&gt;0,F47&lt;&gt;0),IF(100*F47/F64&lt;0.005,"*",100*F47/F64),0)</f>
        <v>0.20773121730867952</v>
      </c>
    </row>
    <row r="48" spans="1:7" x14ac:dyDescent="0.2">
      <c r="A48" s="11" t="s">
        <v>149</v>
      </c>
      <c r="B48" s="30">
        <f>(114075+286130+126770+65618+74242+305247+34882+243442+59043+464951+6298350+190892+84621+58711+66924+37702+33745+162676+58767+51775+32319+28544+32461+227586+98201+52415+45288+109558+34065+107473+68311+821933+31739+8241+84118+0)/1000</f>
        <v>10600.815000000001</v>
      </c>
      <c r="C48" s="30">
        <f>(0+17864+22628+0+1031+0+0+0+0+88959+0+0+0+0+0+0+0+0+0+0+0+0+0+1004+18670+6519+0+0+0+71226+0+0+590+250+0+0)/1000</f>
        <v>228.74100000000001</v>
      </c>
      <c r="D48" s="30">
        <f>(128981+285144+103377+70793+96283+303832+36415+243909+76512+409448+7027764+190892+85787+59250+66468+37702+33745+157288+57805+54737+32500+0+0+223113+97690+55271+29393+0+33221+53732+65343+780823+19073+8082+90847+0)/1000</f>
        <v>11015.22</v>
      </c>
      <c r="E48" s="30">
        <f t="shared" si="1"/>
        <v>11243.960999999999</v>
      </c>
      <c r="F48" s="30">
        <f>(136531+308580+116510+76543+91200+304805+0+244247+83568+332271+7365781+172371+84854+0+59890+37702+45995+157512+58552+58851+0+0+0+213671+65128+0+0+0+31326+122108+65857+840378+14035+8388+86305+0)/1000</f>
        <v>11182.959000000001</v>
      </c>
      <c r="G48" s="18">
        <f>IF(AND(F64&lt;&gt;0,F48&lt;&gt;0),IF(100*F48/F64&lt;0.005,"*",100*F48/F64),0)</f>
        <v>1.8026219216664265</v>
      </c>
    </row>
    <row r="49" spans="1:7" x14ac:dyDescent="0.2">
      <c r="A49" s="11" t="s">
        <v>150</v>
      </c>
      <c r="B49" s="30">
        <f>(560671+1436549+544261+377024+196298+1415074+168036+1032765+278589+1382120+21078511+484652+306069+118378+292749+59844+167819+626118+207520+143120+134505+114484+142973+1091013+145820+73562+169527+142336+134772+507108+255074+3847706+61210+59590+202494+0)/1000</f>
        <v>37958.341</v>
      </c>
      <c r="C49" s="30">
        <f>(0+89688+97147+0+2725+0+0+0+0+264441+0+0+0+0+0+0+0+0+0+0+0+0+0+4814+27723+2799+140289+1605867+0+336079+0+125883+1856+1807+0+0)/1000</f>
        <v>2701.1179999999999</v>
      </c>
      <c r="D49" s="30">
        <f>(633935+1431597+443828+406760+254574+1475860+176444+1034585+252946+1217131+22678795+484652+310288+118175+290754+59844+164693+624168+204122+151308+136149+0+0+1069571+159741+74327+87602+0+131432+253533+248387+3423446+60011+58440+218693+0)/1000</f>
        <v>38335.790999999997</v>
      </c>
      <c r="E49" s="30">
        <f t="shared" si="1"/>
        <v>41036.909</v>
      </c>
      <c r="F49" s="30">
        <f>(671043+1549264+500210+439798+241136+1484853+0+1036020+279751+987714+20809152+437631+306912+0+261982+59844+228740+625202+206759+162679+0+0+0+1024308+97627+0+121212+3768161+123934+576163+250342+3540835+44159+60654+207759+0)/1000</f>
        <v>40103.843999999997</v>
      </c>
      <c r="G49" s="18">
        <f>IF(AND(F64&lt;&gt;0,F49&lt;&gt;0),IF(100*F49/F64&lt;0.005,"*",100*F49/F64),0)</f>
        <v>6.4644847877463008</v>
      </c>
    </row>
    <row r="50" spans="1:7" x14ac:dyDescent="0.2">
      <c r="A50" s="11" t="s">
        <v>151</v>
      </c>
      <c r="B50" s="30">
        <f>(22788+100773+46131+28090+16358+86809+13417+115975+32356+131563+1809543+75356+28073+23505+33287+12592+21484+68432+29247+9980+14670+8131+11459+77980+3407+2688+23587+0+24328+60804+52426+366879+7056+8600+8069+0)/1000</f>
        <v>3375.8429999999998</v>
      </c>
      <c r="C50" s="30">
        <f>(0+6292+8234+0+227+0+0+0+0+25172+0+0+0+0+0+0+0+0+0+0+0+0+0+344+648+61+2403+0+0+40297+0+0+214+261+0+0)/1000</f>
        <v>84.153000000000006</v>
      </c>
      <c r="D50" s="30">
        <f>(25766+100426+37618+30306+21214+79949+13822+116170+33943+115858+1863444+75356+28460+23312+33060+12592+21081+59892+28769+10551+14909+0+0+76448+3732+2971+11173+0+23725+30399+46295+325804+6918+8433+8714+0)/1000</f>
        <v>3291.11</v>
      </c>
      <c r="E50" s="30">
        <f t="shared" si="1"/>
        <v>3375.2629999999999</v>
      </c>
      <c r="F50" s="30">
        <f>(27274+108680+42397+32767+20094+79602+0+116331+37655+94020+1856317+68045+28150+0+29789+12592+29283+59981+29140+11344+0+0+0+73212+2313+0+3609+0+22372+69084+46660+345330+5091+8753+8278+0)/1000</f>
        <v>3268.163</v>
      </c>
      <c r="G50" s="18">
        <f>IF(AND(F64&lt;&gt;0,F50&lt;&gt;0),IF(100*F50/F64&lt;0.005,"*",100*F50/F64),0)</f>
        <v>0.5268071060064794</v>
      </c>
    </row>
    <row r="51" spans="1:7" x14ac:dyDescent="0.2">
      <c r="A51" s="11" t="s">
        <v>152</v>
      </c>
      <c r="B51" s="30">
        <f>(6236+15716+14035+6630+8986+35185+9667+29378+11061+30244+1040439+47197+11229+18991+3698+3945+2677+20595+15238+33669+3065+907+9078+59361+3156+1906+6283+0+10576+23992+19998+213899+6574+8241+3699+0)/1000</f>
        <v>1735.5509999999999</v>
      </c>
      <c r="C51" s="30">
        <f>(0+981+2505+0+125+0+0+0+0+5787+0+0+0+0+0+0+0+0+0+0+0+0+0+262+600+35+720+0+0+15900+0+5252+199+250+0+0)/1000</f>
        <v>32.616</v>
      </c>
      <c r="D51" s="30">
        <f>(7051+15662+11445+7153+11654+35906+9777+29899+10616+26634+1121635+47197+11383+18835+3673+3945+2626+19511+14988+35595+3052+0+0+58194+3457+1927+4078+0+10314+11995+21517+190302+6446+8082+3995+0)/1000</f>
        <v>1768.5440000000001</v>
      </c>
      <c r="E51" s="30">
        <f t="shared" si="1"/>
        <v>1801.16</v>
      </c>
      <c r="F51" s="30">
        <f>(7464+16949+12899+7734+11039+35932+0+30394+11594+21613+999434+42618+11260+0+3310+3945+3649+19407+15182+38270+0+0+0+55732+2114+0+1081+0+9726+27259+21687+202180+4743+8388+3795+0)/1000</f>
        <v>1629.3979999999999</v>
      </c>
      <c r="G51" s="18">
        <f>IF(AND(F64&lt;&gt;0,F51&lt;&gt;0),IF(100*F51/F64&lt;0.005,"*",100*F51/F64),0)</f>
        <v>0.26264860256748074</v>
      </c>
    </row>
    <row r="52" spans="1:7" x14ac:dyDescent="0.2">
      <c r="A52" s="11" t="s">
        <v>153</v>
      </c>
      <c r="B52" s="30">
        <f>(90025+248637+110962+48767+124036+257972+36504+291083+71643+291082+4811942+157763+79524+83635+55372+21329+42443+137754+67728+53612+41048+35249+35475+420769+64770+31398+54669+120549+40412+118316+59030+998523+27407+13658+39273+0)/1000</f>
        <v>9182.3590000000004</v>
      </c>
      <c r="C52" s="30">
        <f>(0+15523+19806+0+1722+0+0+0+0+55693+0+0+0+0+0+0+0+0+0+0+0+0+0+1857+12315+1533+7841+0+0+78412+0+0+831+414+0+0)/1000</f>
        <v>195.947</v>
      </c>
      <c r="D52" s="30">
        <f>(101789+247780+90486+52613+160860+261532+37151+291639+70470+256334+5378931+157763+80620+84986+54995+21329+42443+133472+66619+56680+41103+0+0+412499+70953+32113+27945+0+39411+59153+69600+945671+26870+13390+42415+0)/1000</f>
        <v>9429.6149999999998</v>
      </c>
      <c r="E52" s="30">
        <f t="shared" si="1"/>
        <v>9625.5619999999999</v>
      </c>
      <c r="F52" s="30">
        <f>(107747+268146+101981+56887+152368+263499+0+292044+76832+208018+5427984+142457+79743+0+49553+21329+57850+133726+67480+60939+0+0+0+395043+42903+0+11776+0+37162+134427+70148+1011996+19773+13897+40294+0)/1000</f>
        <v>9346.0020000000004</v>
      </c>
      <c r="G52" s="18">
        <f>IF(AND(F64&lt;&gt;0,F52&lt;&gt;0),IF(100*F52/F64&lt;0.005,"*",100*F52/F64),0)</f>
        <v>1.5065161273629157</v>
      </c>
    </row>
    <row r="53" spans="1:7" x14ac:dyDescent="0.2">
      <c r="A53" s="11" t="s">
        <v>154</v>
      </c>
      <c r="B53" s="30">
        <f>(55476+199848+135370+47725+110682+227571+33328+225976+58727+242501+7997273+379065+125853+57036+48937+41883+37498+151504+101079+44227+35110+13632+51161+535306+47462+23222+36360+0+81182+268838+81939+776167+23289+18394+32549+0)/1000</f>
        <v>12346.17</v>
      </c>
      <c r="C53" s="30">
        <f>(0+12477+24163+0+1537+0+0+0+0+46398+0+0+0+0+0+0+0+0+0+0+0+0+0+2362+9023+954+19490+0+0+178169+0+2539+706+558+0+0)/1000</f>
        <v>298.37599999999998</v>
      </c>
      <c r="D53" s="30">
        <f>(62725+199159+110390+51489+143541+223614+33209+226398+57321+213553+8169896+379058+127587+56518+48604+41883+36797+143418+99425+46757+35612+0+0+524786+51993+23907+28095+0+79170+134408+73700+634962+22833+18039+35153+0)/1000</f>
        <v>12134</v>
      </c>
      <c r="E53" s="30">
        <f t="shared" si="1"/>
        <v>12432.376</v>
      </c>
      <c r="F53" s="30">
        <f>(66397+215529+124413+55671+135964+222236+0+226712+63348+173300+8414997+342282+126199+0+43794+41883+51110+143503+100709+50271+0+0+0+502577+31455+0+12191+0+74653+305447+74280+674333+16802+18722+33395+0)/1000</f>
        <v>12342.173000000001</v>
      </c>
      <c r="G53" s="18">
        <f>IF(AND(F64&lt;&gt;0,F53&lt;&gt;0),IF(100*F53/F64&lt;0.005,"*",100*F53/F64),0)</f>
        <v>1.9894798515133145</v>
      </c>
    </row>
    <row r="54" spans="1:7" x14ac:dyDescent="0.2">
      <c r="A54" s="11" t="s">
        <v>155</v>
      </c>
      <c r="B54" s="30">
        <f>(42667+80382+34515+16971+19809+96100+17282+77036+26954+61048+3277360+109813+31033+28881+18028+8727+8694+66718+48577+40834+9030+2481+14922+78785+16121+8431+19765+104280+13392+27045+32880+474870+20877+8241+16855+0)/1000</f>
        <v>4959.4040000000005</v>
      </c>
      <c r="C54" s="30">
        <f>(0+5018+6161+0+275+0+0+0+0+11680+0+0+0+0+0+0+0+0+0+0+0+0+0+348+3065+844+15400+45595+0+17924+0+7002+633+250+0+0)/1000</f>
        <v>114.19499999999999</v>
      </c>
      <c r="D54" s="30">
        <f>(48242+80105+28146+18310+25690+94771+16318+77998+26476+53760+3408420+109813+31460+28644+17905+8727+8530+65356+47782+43170+8947+0+0+77236+17660+8592+9978+0+13061+13521+19557+410473+20468+8082+18204+0)/1000</f>
        <v>4865.402</v>
      </c>
      <c r="E54" s="30">
        <f t="shared" si="1"/>
        <v>4979.5969999999998</v>
      </c>
      <c r="F54" s="30">
        <f>(51066+86689+31721+19797+24334+95516+0+78106+28327+43627+3507449+99159+31118+0+16133+8727+11851+65622+48399+46414+0+0+0+73968+10755+0+4672+0+12315+30728+19711+435081+15061+8388+17294+0)/1000</f>
        <v>4922.0280000000002</v>
      </c>
      <c r="G54" s="18">
        <f>IF(AND(F64&lt;&gt;0,F54&lt;&gt;0),IF(100*F54/F64&lt;0.005,"*",100*F54/F64),0)</f>
        <v>0.79339963348304843</v>
      </c>
    </row>
    <row r="55" spans="1:7" x14ac:dyDescent="0.2">
      <c r="A55" s="11" t="s">
        <v>156</v>
      </c>
      <c r="B55" s="30">
        <f>(52031+169244+88227+36868+70064+208137+33345+213051+62801+224461+5033472+312846+95351+103182+42824+24511+29584+135610+73152+48460+28260+11384+19604+158711+16830+18191+23419+0+58494+102449+58172+824710+36205+14372+35363+0)/1000</f>
        <v>8463.3850000000002</v>
      </c>
      <c r="C55" s="30">
        <f>(0+10566+15748+0+973+0+0+0+0+42946+0+0+0+0+0+0+0+0+0+0+0+0+0+700+3200+1068+35547+0+0+67897+0+2552+1098+436+0+0)/1000</f>
        <v>182.73099999999999</v>
      </c>
      <c r="D55" s="30">
        <f>(58830+168661+71946+39776+90864+202753+32604+213490+60930+197666+5295825+312846+96665+102246+42532+24511+29024+127931+71955+51232+28237+0+0+155592+18436+18605+29346+0+57044+51220+50498+706138+35496+14095+38192+0)/1000</f>
        <v>8495.1859999999997</v>
      </c>
      <c r="E55" s="30">
        <f t="shared" si="1"/>
        <v>8677.9169999999995</v>
      </c>
      <c r="F55" s="30">
        <f>(62274+182523+81086+43007+86068+203290+0+213786+66035+160408+5657814+282494+95613+0+38323+24511+40323+127917+72884+55082+0+0+0+149008+11505+0+16753+0+53790+116400+50896+748461+26120+14629+36282+0)/1000</f>
        <v>8717.2819999999992</v>
      </c>
      <c r="G55" s="18">
        <f>IF(AND(F64&lt;&gt;0,F55&lt;&gt;0),IF(100*F55/F64&lt;0.005,"*",100*F55/F64),0)</f>
        <v>1.4051704589588629</v>
      </c>
    </row>
    <row r="56" spans="1:7" x14ac:dyDescent="0.2">
      <c r="A56" s="11" t="s">
        <v>157</v>
      </c>
      <c r="B56" s="30">
        <f>(3975+15076+8187+4732+6438+35432+9667+30818+10404+12647+343345+18429+8537+9230+3545+2815+3281+20178+3908+833+2870+738+7475+14817+1728+976+3503+0+8610+9610+32588+270795+6579+8241+5250+0)/1000</f>
        <v>925.25699999999995</v>
      </c>
      <c r="C56" s="30">
        <f>(0+941+1461+0+89+0+0+0+0+2420+0+0+0+0+0+0+0+0+0+0+0+0+0+65+329+23+2787+0+0+6369+0+0+199+250+0+0)/1000</f>
        <v>14.933</v>
      </c>
      <c r="D56" s="30">
        <f>(4494+15024+6676+5105+8349+34988+9777+31367+10616+11137+362027+18429+8654+9155+3520+2815+3220+17511+3844+881+2861+0+0+14526+1893+992+2266+0+8397+4805+30562+239384+6446+8082+5670+0)/1000</f>
        <v>893.47299999999996</v>
      </c>
      <c r="E56" s="30">
        <f t="shared" si="1"/>
        <v>908.40599999999995</v>
      </c>
      <c r="F56" s="30">
        <f>(4758+16259+7524+5520+7909+35012+0+31886+11594+9038+371141+16641+8560+0+3172+2815+4472+17576+3894+947+0+0+0+13911+1168+0+0+0+7918+10919+30803+254774+4743+8388+5386+0)/1000</f>
        <v>896.72799999999995</v>
      </c>
      <c r="G56" s="18">
        <f>IF(AND(F64&lt;&gt;0,F56&lt;&gt;0),IF(100*F56/F64&lt;0.005,"*",100*F56/F64),0)</f>
        <v>0.14454685477896242</v>
      </c>
    </row>
    <row r="57" spans="1:7" x14ac:dyDescent="0.2">
      <c r="A57" s="11" t="s">
        <v>158</v>
      </c>
      <c r="B57" s="30">
        <f>(0+0+7438+0+0+18857+2332+6334+924+2902+19402+0+0+280+3735+0+0+4947+0+0+56+24+1767+0+0+0+1022+0+0+0+15663+2729+6723+1426+1226+0)/1000</f>
        <v>97.787000000000006</v>
      </c>
      <c r="C57" s="30">
        <f>(0+0+1328+0+0+0+0+0+0+555+0+0+0+0+0+0+0+0+0+0+0+0+0+0+0+0+1016+0+0+0+0+0+220+43+0+0)/1000</f>
        <v>3.1619999999999999</v>
      </c>
      <c r="D57" s="30">
        <f>(0+0+6065+0+0+18910+2453+6369+948+2556+18812+0+0+278+3710+0+0+3659+0+0+56+0+0+0+0+0+659+0+0+0+11028+2238+7118+1399+1324+0)/1000</f>
        <v>87.581999999999994</v>
      </c>
      <c r="E57" s="30">
        <f t="shared" si="1"/>
        <v>90.744</v>
      </c>
      <c r="F57" s="30">
        <f>(0+0+6836+0+0+18949+0+6369+980+2074+18812+0+0+0+3348+0+0+3694+0+0+0+0+0+0+0+0+0+0+0+0+11114+2316+5239+1451+1258+0)/1000</f>
        <v>82.44</v>
      </c>
      <c r="G57" s="18">
        <f>IF(AND(F64&lt;&gt;0,F57&lt;&gt;0),IF(100*F57/F64&lt;0.005,"*",100*F57/F64),0)</f>
        <v>1.3288804083264563E-2</v>
      </c>
    </row>
    <row r="58" spans="1:7" x14ac:dyDescent="0.2">
      <c r="A58" s="11" t="s">
        <v>159</v>
      </c>
      <c r="B58" s="30">
        <f>(3044+8406+10374+416+1665+20432+3910+14121+2478+26577+53786+3454+5749+615+5383+0+0+3372+0+0+273+261+2457+32235+3994+1574+3044+0+0+3033+9701+15124+6465+3671+162+0)/1000</f>
        <v>245.77600000000001</v>
      </c>
      <c r="C58" s="30">
        <f>(0+525+1852+0+23+0+0+0+0+5085+0+0+0+0+0+0+0+0+0+0+0+0+0+142+759+24+3051+0+0+2010+0+0+159+111+0+0)/1000</f>
        <v>13.741</v>
      </c>
      <c r="D58" s="30">
        <f>(3442+8377+8460+449+2159+20489+3873+14121+2938+23404+54038+3454+5829+610+5346+0+0+2979+0+0+274+0+0+31601+4375+1418+1980+0+0+1516+6665+12406+5150+3601+175+0)/1000</f>
        <v>229.12899999999999</v>
      </c>
      <c r="E58" s="30">
        <f t="shared" si="1"/>
        <v>242.87</v>
      </c>
      <c r="F58" s="30">
        <f>(3643+9066+9534+485+2045+20531+0+14121+3252+18993+54037+3119+5765+0+4825+0+0+3007+0+0+0+0+0+30264+2644+0+0+0+0+3446+6717+12838+3791+3737+166+0)/1000</f>
        <v>216.02600000000001</v>
      </c>
      <c r="G58" s="18">
        <f>IF(AND(F64&lt;&gt;0,F58&lt;&gt;0),IF(100*F58/F64&lt;0.005,"*",100*F58/F64),0)</f>
        <v>3.4822018327162918E-2</v>
      </c>
    </row>
    <row r="59" spans="1:7" x14ac:dyDescent="0.2">
      <c r="A59" s="11" t="s">
        <v>160</v>
      </c>
      <c r="B59" s="30">
        <f>(0+0+4843+0+0+11398+1435+4839+867+6706+17018+0+0+214+2337+0+0+3650+0+0+55+94+1767+3181+0+3+985+0+0+0+8817+15349+3373+3181+994+0)/1000</f>
        <v>91.105999999999995</v>
      </c>
      <c r="C59" s="30">
        <f>(0+0+864+0+0+0+0+0+0+1283+0+0+0+0+0+0+0+0+0+0+0+0+0+14+0+1+1002+0+0+0+0+0+102+96+0+0)/1000</f>
        <v>3.3620000000000001</v>
      </c>
      <c r="D59" s="30">
        <f>(0+0+3949+0+0+11430+1511+4839+854+5905+19967+0+0+212+2321+0+0+3249+0+0+55+0+0+3119+0+3+651+0+0+0+6530+12591+3308+3120+1074+0)/1000</f>
        <v>84.688000000000002</v>
      </c>
      <c r="E59" s="30">
        <f t="shared" si="1"/>
        <v>88.05</v>
      </c>
      <c r="F59" s="30">
        <f>(0+0+4451+0+0+11454+0+4839+916+4792+13813+0+0+0+2095+0+0+3175+0+0+0+0+0+2987+3+0+0+0+0+0+6581+13030+2435+3237+1020+0)/1000</f>
        <v>74.828000000000003</v>
      </c>
      <c r="G59" s="18">
        <f>IF(AND(F64&lt;&gt;0,F59&lt;&gt;0),IF(100*F59/F64&lt;0.005,"*",100*F59/F64),0)</f>
        <v>1.2061798058497341E-2</v>
      </c>
    </row>
    <row r="60" spans="1:7" x14ac:dyDescent="0.2">
      <c r="A60" s="11" t="s">
        <v>161</v>
      </c>
      <c r="B60" s="30">
        <f>(28231+105944+226508+24943+0+406829+62017+121580+56762+192487+1631538+71326+26667+15263+32120+0+0+294933+5104+802+8186+52905+10937+195776+213480+104009+27951+0+15653+23299+3424+44243+17755+8412+17571+0)/1000</f>
        <v>4046.6550000000002</v>
      </c>
      <c r="C60" s="30">
        <f>(0+6614+40430+0+0+0+0+0+0+36829+0+0+0+0+0+0+0+0+0+0+0+0+0+864+40587+1753+25615+0+0+15441+0+195080+530+250+0+0)/1000</f>
        <v>363.99299999999999</v>
      </c>
      <c r="D60" s="30">
        <f>(31920+105579+184710+26910+0+388685+59359+121761+68027+169509+824100+71326+27034+15144+31900+0+0+294281+5020+847+8213+0+0+191929+223270+106169+33119+0+15265+11648+10770+142467+17124+8082+18977+0)/1000</f>
        <v>3213.145</v>
      </c>
      <c r="E60" s="30">
        <f t="shared" si="1"/>
        <v>3577.1379999999999</v>
      </c>
      <c r="F60" s="30">
        <f>(33788+114257+208175+29096+0+381675+0+121930+72056+137558+359200+64406+26740+0+28744+0+0+295765+5085+911+0+0+0+183807+141213+0+3810+0+14394+26472+10855+158454+12601+8388+18028+0)/1000</f>
        <v>2457.4079999999999</v>
      </c>
      <c r="G60" s="18">
        <f>IF(AND(F64&lt;&gt;0,F60&lt;&gt;0),IF(100*F60/F64&lt;0.005,"*",100*F60/F64),0)</f>
        <v>0.396118552458115</v>
      </c>
    </row>
    <row r="61" spans="1:7" x14ac:dyDescent="0.2">
      <c r="A61" s="11" t="s">
        <v>162</v>
      </c>
      <c r="B61" s="30">
        <f>(0+0+0+0+0+1000+0+6579+0+0+0+0+0+0+0+0+0+1893+0+0+0+50+50000+0+0+0+0+0+0+0+3000+0+0+0+0+0)/1000</f>
        <v>62.521999999999998</v>
      </c>
      <c r="C61" s="30">
        <f>(0+0+0+0+0+0+0+0+0+0+0+0+0+0+0+0+0+0+0+0+0+101+0+0+0+0+0+0+0+0+0+0+0+0+0+0)/1000</f>
        <v>0.10100000000000001</v>
      </c>
      <c r="D61" s="30">
        <f>(0+0+0+0+0+1000+0+6579+0+0+0+0+0+0+0+0+0+1679+0+0+0+0+0+0+0+0+0+0+0+0+15317+0+0+0+0+0)/1000</f>
        <v>24.574999999999999</v>
      </c>
      <c r="E61" s="30">
        <f t="shared" si="1"/>
        <v>24.675999999999998</v>
      </c>
      <c r="F61" s="30">
        <f>(0+0+0+0+0+1000+0+6579+0+0+0+0+0+0+0+0+0+1695+0+0+0+0+0+0+0+0+0+0+0+0+15437+0+0+0+0+0)/1000</f>
        <v>24.710999999999999</v>
      </c>
      <c r="G61" s="18" t="str">
        <f>IF(AND(F64&lt;&gt;0,F61&lt;&gt;0),IF(100*F61/F64&lt;0.005,"*",100*F61/F64),0)</f>
        <v>*</v>
      </c>
    </row>
    <row r="62" spans="1:7" x14ac:dyDescent="0.2">
      <c r="A62" s="11" t="s">
        <v>163</v>
      </c>
      <c r="B62" s="30">
        <f>(1015+4591+6878+1480+32+9838+2494+8975+1988+6878+46751+2837+3877+581+2825+0+0+9892+454+0+273+1955+1919+14848+19259+6136+1949+0+2236+1845+1751+12367+4149+0+1087+0)/1000</f>
        <v>181.16</v>
      </c>
      <c r="C62" s="30">
        <f>(0+287+1228+0+0+0+0+0+0+1316+0+0+0+0+0+0+0+0+0+0+0+0+0+66+3662+101+1930+0+0+1223+0+19937+128+124+0+0)/1000</f>
        <v>30.001999999999999</v>
      </c>
      <c r="D62" s="30">
        <f>(1148+4575+5609+1597+42+9865+2378+8975+2007+6057+108668+2837+3930+577+2806+0+0+9854+447+0+274+0+0+14556+21098+6265+1253+0+2181+923+6911+11379+4131+4004+1174+0)/1000</f>
        <v>245.52099999999999</v>
      </c>
      <c r="E62" s="30">
        <f t="shared" si="1"/>
        <v>275.52299999999997</v>
      </c>
      <c r="F62" s="30">
        <f>(1215+4951+6321+1726+39+9886+0+8975+2227+4915+83396+2562+3888+0+2532+0+0+9946+452+0+0+0+0+13940+12723+0+0+0+2056+2097+6966+11820+3041+4158+1115+0)/1000</f>
        <v>200.947</v>
      </c>
      <c r="G62" s="18">
        <f>IF(AND(F64&lt;&gt;0,F62&lt;&gt;0),IF(100*F62/F64&lt;0.005,"*",100*F62/F64),0)</f>
        <v>3.2391379356134939E-2</v>
      </c>
    </row>
    <row r="63" spans="1:7" x14ac:dyDescent="0.2">
      <c r="A63" s="11" t="s">
        <v>164</v>
      </c>
      <c r="B63" s="30">
        <f>(0+0+65643+0+0+107668+10171+94881+43000+0+0+195288+49686+37230+78540+58340+0+266318+3879+92+0+0+0+0+0+1964+61824+0+0+0+0+0+10268+8171+51218+0)/1000</f>
        <v>1144.181</v>
      </c>
      <c r="C63" s="30">
        <f>(0+0+11717+0+0+0+0+0+0+0+0+0+0+0+0+0+0+0+0+0+0+0+0+0+0+1283+2928+0+0+0+0+0+900+600+0+0)/1000</f>
        <v>17.428000000000001</v>
      </c>
      <c r="D63" s="30">
        <f>(0+0+53530+0+0+107964+10215+95235+40189+0+0+196779+50730+37228+78007+58340+0+254897+6910+150+0+0+0+0+0+2058+56000+0+0+0+0+0+29100+19400+55316+0)/1000</f>
        <v>1152.048</v>
      </c>
      <c r="E63" s="30">
        <f t="shared" si="1"/>
        <v>1169.4760000000001</v>
      </c>
      <c r="F63" s="30">
        <f>(0+0+60330+0+0+108184+0+95382+43752+0+0+177688+51693+0+70400+71760+0+255091+7028+150+0+0+0+0+0+0+3000+0+0+0+0+0+30000+20000+52550+0)/1000</f>
        <v>1047.008</v>
      </c>
      <c r="G63" s="18">
        <f>IF(AND(F64&lt;&gt;0,F63&lt;&gt;0),IF(100*F63/F64&lt;0.005,"*",100*F63/F64),0)</f>
        <v>0.1687710357303574</v>
      </c>
    </row>
    <row r="64" spans="1:7" ht="18" customHeight="1" x14ac:dyDescent="0.2">
      <c r="A64" s="39" t="s">
        <v>515</v>
      </c>
      <c r="B64" s="36">
        <f t="shared" ref="B64:G64" si="2">SUM(B5:B63)</f>
        <v>607363.17100000021</v>
      </c>
      <c r="C64" s="36">
        <f t="shared" si="2"/>
        <v>17865.215</v>
      </c>
      <c r="D64" s="36">
        <f t="shared" si="2"/>
        <v>621208.28599999961</v>
      </c>
      <c r="E64" s="36">
        <f t="shared" si="2"/>
        <v>639073.50100000028</v>
      </c>
      <c r="F64" s="36">
        <f t="shared" si="2"/>
        <v>620371.85200000007</v>
      </c>
      <c r="G64" s="38">
        <f t="shared" si="2"/>
        <v>99.996016743841551</v>
      </c>
    </row>
    <row r="65" spans="1:7" ht="15" customHeight="1" x14ac:dyDescent="0.2">
      <c r="A65" s="37" t="s">
        <v>514</v>
      </c>
      <c r="B65" s="36" t="s">
        <v>513</v>
      </c>
      <c r="C65" s="36" t="s">
        <v>513</v>
      </c>
      <c r="D65" s="36" t="s">
        <v>513</v>
      </c>
      <c r="E65" s="36" t="s">
        <v>513</v>
      </c>
      <c r="F65" s="36" t="s">
        <v>513</v>
      </c>
      <c r="G65" s="36" t="s">
        <v>513</v>
      </c>
    </row>
    <row r="66" spans="1:7" ht="15" x14ac:dyDescent="0.2">
      <c r="A66" s="35" t="s">
        <v>512</v>
      </c>
      <c r="B66" s="30">
        <f>(149599+105305+3065+275089+539503+5000+10222+35+0+0+38520953+0+0+0+0+0+0+0+0+0+0+0+0+0+0+615+0+0+0+83000+0+0+0+0+0+21400+268037+254028+4427184+0+941000+2987+14035+775+9995+14585+4000+395219+223706+24922+102659+0+0+0+34403+1765+8845+8812+756+1560+225+50+536+3760+100000+0)/1000</f>
        <v>46557.63</v>
      </c>
      <c r="C66" s="30">
        <f>(0+0+0+0+0+0+0+0+0+0+0+0+0+0+0+0+0+0+0+0+0+0+0+378445+3035+32987+0+437466+0+48450+0+122120+0+0+0+0+0+0+0+0+0+0+0+0+0+0+0+0+0+0+0+0+0+0+0+0+0+0+25+64+0+0+60+0+0+0)/1000</f>
        <v>1022.652</v>
      </c>
      <c r="D66" s="30">
        <f>(0+0+0+0+0+5000+10266+0+0+0+-26243465+0+0+0+0+0+0+0+0+0+0+1306075+0+240865+0+20427+0+0+0+36550+0+6616874+0+0+0+21400+297400+270000+4400908+36673844+1000000+2968+14183+1500+10000+14585+4000+383873+222932+24830+106429+0+0+0+33734+1721+8626+0+815+2079+0+0+1940+0+0+0)/1000</f>
        <v>25490.359</v>
      </c>
      <c r="E66" s="30">
        <f>SUM(C66:D66)</f>
        <v>26513.010999999999</v>
      </c>
      <c r="F66" s="30">
        <f>(0+0+0+0+0+5000+0+0+0+0+-7784391+0+0+0+0+0+0+0+0+0+0+1315005+0+327000+46902+0+0+1312397+0+85000+0+6686666+0+0+0+20000+308315+280000+4726461+39062837+1054000+0+12800+1500+12800+17940+17940+384739+221402+25000+103385+0+0+0+35202+1623+8134+0+840+2158+0+0+2000+0+0+0)/1000</f>
        <v>48292.654999999999</v>
      </c>
      <c r="G66" s="18" t="s">
        <v>414</v>
      </c>
    </row>
    <row r="67" spans="1:7" ht="15" customHeight="1" x14ac:dyDescent="0.2">
      <c r="A67" s="34" t="s">
        <v>511</v>
      </c>
      <c r="B67" s="33">
        <f>SUM(B64:B66)</f>
        <v>653920.80100000021</v>
      </c>
      <c r="C67" s="33">
        <f>SUM(C64:C66)</f>
        <v>18887.866999999998</v>
      </c>
      <c r="D67" s="33">
        <f>SUM(D64:D66)</f>
        <v>646698.64499999967</v>
      </c>
      <c r="E67" s="33">
        <f>SUM(E64:E66)</f>
        <v>665586.51200000034</v>
      </c>
      <c r="F67" s="33">
        <f>SUM(F64:F66)</f>
        <v>668664.5070000001</v>
      </c>
      <c r="G67" s="33" t="s">
        <v>414</v>
      </c>
    </row>
    <row r="68" spans="1:7" ht="15" customHeight="1" x14ac:dyDescent="0.2">
      <c r="A68" s="64" t="s">
        <v>528</v>
      </c>
      <c r="B68" s="64"/>
      <c r="C68" s="64"/>
      <c r="D68" s="64"/>
      <c r="E68" s="64"/>
      <c r="F68" s="64"/>
      <c r="G68" s="64"/>
    </row>
    <row r="69" spans="1:7" ht="15" customHeight="1" x14ac:dyDescent="0.2">
      <c r="A69" s="57" t="s">
        <v>548</v>
      </c>
      <c r="B69" s="57"/>
      <c r="C69" s="57"/>
      <c r="D69" s="57"/>
      <c r="E69" s="57"/>
      <c r="F69" s="57"/>
      <c r="G69" s="57"/>
    </row>
  </sheetData>
  <mergeCells count="6">
    <mergeCell ref="A69:G69"/>
    <mergeCell ref="A3:A5"/>
    <mergeCell ref="B3:B5"/>
    <mergeCell ref="G3:G5"/>
    <mergeCell ref="F4:F5"/>
    <mergeCell ref="A68:G68"/>
  </mergeCells>
  <pageMargins left="0.7" right="0.7"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95</v>
      </c>
      <c r="B1" s="10"/>
      <c r="C1" s="10"/>
      <c r="D1" s="10"/>
      <c r="E1" s="10"/>
      <c r="F1" s="10"/>
      <c r="G1" s="12" t="s">
        <v>96</v>
      </c>
    </row>
    <row r="2" spans="1:7" x14ac:dyDescent="0.2">
      <c r="A2" s="13" t="s">
        <v>97</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78169</v>
      </c>
      <c r="C6" s="17">
        <v>0</v>
      </c>
      <c r="D6" s="17">
        <v>88384</v>
      </c>
      <c r="E6" s="17">
        <v>88384</v>
      </c>
      <c r="F6" s="17">
        <v>93557</v>
      </c>
      <c r="G6" s="18">
        <f>IF(AND(F65&lt;&gt;0,93557&lt;&gt;0),IF(100*93557/(F65-0)&lt;0.005,"*",100*93557/(F65-0)),0)</f>
        <v>1.8453894358126699</v>
      </c>
    </row>
    <row r="7" spans="1:7" x14ac:dyDescent="0.2">
      <c r="A7" s="11" t="s">
        <v>108</v>
      </c>
      <c r="B7" s="17">
        <v>13002</v>
      </c>
      <c r="C7" s="17">
        <v>0</v>
      </c>
      <c r="D7" s="17">
        <v>14701</v>
      </c>
      <c r="E7" s="17">
        <v>14701</v>
      </c>
      <c r="F7" s="17">
        <v>15562</v>
      </c>
      <c r="G7" s="18">
        <f>IF(AND(F65&lt;&gt;0,15562&lt;&gt;0),IF(100*15562/(F65-0)&lt;0.005,"*",100*15562/(F65-0)),0)</f>
        <v>0.30695672584752365</v>
      </c>
    </row>
    <row r="8" spans="1:7" x14ac:dyDescent="0.2">
      <c r="A8" s="11" t="s">
        <v>109</v>
      </c>
      <c r="B8" s="17">
        <v>94310</v>
      </c>
      <c r="C8" s="17">
        <v>0</v>
      </c>
      <c r="D8" s="17">
        <v>106634</v>
      </c>
      <c r="E8" s="17">
        <v>106634</v>
      </c>
      <c r="F8" s="17">
        <v>112876</v>
      </c>
      <c r="G8" s="18">
        <f>IF(AND(F65&lt;&gt;0,112876&lt;&gt;0),IF(100*112876/(F65-0)&lt;0.005,"*",100*112876/(F65-0)),0)</f>
        <v>2.2264520875700478</v>
      </c>
    </row>
    <row r="9" spans="1:7" x14ac:dyDescent="0.2">
      <c r="A9" s="11" t="s">
        <v>110</v>
      </c>
      <c r="B9" s="17">
        <v>53962</v>
      </c>
      <c r="C9" s="17">
        <v>0</v>
      </c>
      <c r="D9" s="17">
        <v>61013</v>
      </c>
      <c r="E9" s="17">
        <v>61013</v>
      </c>
      <c r="F9" s="17">
        <v>64585</v>
      </c>
      <c r="G9" s="18">
        <f>IF(AND(F65&lt;&gt;0,64585&lt;&gt;0),IF(100*64585/(F65-0)&lt;0.005,"*",100*64585/(F65-0)),0)</f>
        <v>1.2739236691210845</v>
      </c>
    </row>
    <row r="10" spans="1:7" x14ac:dyDescent="0.2">
      <c r="A10" s="11" t="s">
        <v>111</v>
      </c>
      <c r="B10" s="17">
        <v>513900</v>
      </c>
      <c r="C10" s="17">
        <v>0</v>
      </c>
      <c r="D10" s="17">
        <v>581052</v>
      </c>
      <c r="E10" s="17">
        <v>581052</v>
      </c>
      <c r="F10" s="17">
        <v>615064</v>
      </c>
      <c r="G10" s="18">
        <f>IF(AND(F65&lt;&gt;0,615064&lt;&gt;0),IF(100*615064/(F65-0)&lt;0.005,"*",100*615064/(F65-0)),0)</f>
        <v>12.131990208628794</v>
      </c>
    </row>
    <row r="11" spans="1:7" x14ac:dyDescent="0.2">
      <c r="A11" s="11" t="s">
        <v>112</v>
      </c>
      <c r="B11" s="17">
        <v>48526</v>
      </c>
      <c r="C11" s="17">
        <v>0</v>
      </c>
      <c r="D11" s="17">
        <v>54867</v>
      </c>
      <c r="E11" s="17">
        <v>54867</v>
      </c>
      <c r="F11" s="17">
        <v>58079</v>
      </c>
      <c r="G11" s="18">
        <f>IF(AND(F65&lt;&gt;0,58079&lt;&gt;0),IF(100*58079/(F65-0)&lt;0.005,"*",100*58079/(F65-0)),0)</f>
        <v>1.1455943760762322</v>
      </c>
    </row>
    <row r="12" spans="1:7" x14ac:dyDescent="0.2">
      <c r="A12" s="11" t="s">
        <v>113</v>
      </c>
      <c r="B12" s="17">
        <v>31880</v>
      </c>
      <c r="C12" s="17">
        <v>0</v>
      </c>
      <c r="D12" s="17">
        <v>36046</v>
      </c>
      <c r="E12" s="17">
        <v>36046</v>
      </c>
      <c r="F12" s="17">
        <v>38156</v>
      </c>
      <c r="G12" s="18">
        <f>IF(AND(F65&lt;&gt;0,38156&lt;&gt;0),IF(100*38156/(F65-0)&lt;0.005,"*",100*38156/(F65-0)),0)</f>
        <v>0.75261796886249277</v>
      </c>
    </row>
    <row r="13" spans="1:7" x14ac:dyDescent="0.2">
      <c r="A13" s="11" t="s">
        <v>114</v>
      </c>
      <c r="B13" s="17">
        <v>14283</v>
      </c>
      <c r="C13" s="17">
        <v>0</v>
      </c>
      <c r="D13" s="17">
        <v>16149</v>
      </c>
      <c r="E13" s="17">
        <v>16149</v>
      </c>
      <c r="F13" s="17">
        <v>17095</v>
      </c>
      <c r="G13" s="18">
        <f>IF(AND(F65&lt;&gt;0,17095&lt;&gt;0),IF(100*17095/(F65-0)&lt;0.005,"*",100*17095/(F65-0)),0)</f>
        <v>0.33719478398428332</v>
      </c>
    </row>
    <row r="14" spans="1:7" x14ac:dyDescent="0.2">
      <c r="A14" s="11" t="s">
        <v>115</v>
      </c>
      <c r="B14" s="17">
        <v>11349</v>
      </c>
      <c r="C14" s="17">
        <v>0</v>
      </c>
      <c r="D14" s="17">
        <v>12832</v>
      </c>
      <c r="E14" s="17">
        <v>12832</v>
      </c>
      <c r="F14" s="17">
        <v>13583</v>
      </c>
      <c r="G14" s="18">
        <f>IF(AND(F65&lt;&gt;0,13583&lt;&gt;0),IF(100*13583/(F65-0)&lt;0.005,"*",100*13583/(F65-0)),0)</f>
        <v>0.26792142444331796</v>
      </c>
    </row>
    <row r="15" spans="1:7" x14ac:dyDescent="0.2">
      <c r="A15" s="11" t="s">
        <v>116</v>
      </c>
      <c r="B15" s="17">
        <v>244080</v>
      </c>
      <c r="C15" s="17">
        <v>0</v>
      </c>
      <c r="D15" s="17">
        <v>275974</v>
      </c>
      <c r="E15" s="17">
        <v>275974</v>
      </c>
      <c r="F15" s="17">
        <v>292129</v>
      </c>
      <c r="G15" s="18">
        <f>IF(AND(F65&lt;&gt;0,292129&lt;&gt;0),IF(100*292129/(F65-0)&lt;0.005,"*",100*292129/(F65-0)),0)</f>
        <v>5.7621746154164786</v>
      </c>
    </row>
    <row r="16" spans="1:7" x14ac:dyDescent="0.2">
      <c r="A16" s="11" t="s">
        <v>117</v>
      </c>
      <c r="B16" s="17">
        <v>189245</v>
      </c>
      <c r="C16" s="17">
        <v>0</v>
      </c>
      <c r="D16" s="17">
        <v>213974</v>
      </c>
      <c r="E16" s="17">
        <v>213974</v>
      </c>
      <c r="F16" s="17">
        <v>226499</v>
      </c>
      <c r="G16" s="18">
        <f>IF(AND(F65&lt;&gt;0,226499&lt;&gt;0),IF(100*226499/(F65-0)&lt;0.005,"*",100*226499/(F65-0)),0)</f>
        <v>4.4676385713750326</v>
      </c>
    </row>
    <row r="17" spans="1:7" x14ac:dyDescent="0.2">
      <c r="A17" s="11" t="s">
        <v>118</v>
      </c>
      <c r="B17" s="17">
        <v>11068</v>
      </c>
      <c r="C17" s="17">
        <v>0</v>
      </c>
      <c r="D17" s="17">
        <v>12514</v>
      </c>
      <c r="E17" s="17">
        <v>12514</v>
      </c>
      <c r="F17" s="17">
        <v>13247</v>
      </c>
      <c r="G17" s="18">
        <f>IF(AND(F65&lt;&gt;0,13247&lt;&gt;0),IF(100*13247/(F65-0)&lt;0.005,"*",100*13247/(F65-0)),0)</f>
        <v>0.2612939048516994</v>
      </c>
    </row>
    <row r="18" spans="1:7" x14ac:dyDescent="0.2">
      <c r="A18" s="11" t="s">
        <v>119</v>
      </c>
      <c r="B18" s="17">
        <v>18266</v>
      </c>
      <c r="C18" s="17">
        <v>0</v>
      </c>
      <c r="D18" s="17">
        <v>20653</v>
      </c>
      <c r="E18" s="17">
        <v>20653</v>
      </c>
      <c r="F18" s="17">
        <v>21862</v>
      </c>
      <c r="G18" s="18">
        <f>IF(AND(F65&lt;&gt;0,21862&lt;&gt;0),IF(100*21862/(F65-0)&lt;0.005,"*",100*21862/(F65-0)),0)</f>
        <v>0.43122271819037156</v>
      </c>
    </row>
    <row r="19" spans="1:7" x14ac:dyDescent="0.2">
      <c r="A19" s="11" t="s">
        <v>120</v>
      </c>
      <c r="B19" s="17">
        <v>138629</v>
      </c>
      <c r="C19" s="17">
        <v>0</v>
      </c>
      <c r="D19" s="17">
        <v>156744</v>
      </c>
      <c r="E19" s="17">
        <v>156744</v>
      </c>
      <c r="F19" s="17">
        <v>165919</v>
      </c>
      <c r="G19" s="18">
        <f>IF(AND(F65&lt;&gt;0,165919&lt;&gt;0),IF(100*165919/(F65-0)&lt;0.005,"*",100*165919/(F65-0)),0)</f>
        <v>3.2727125688147587</v>
      </c>
    </row>
    <row r="20" spans="1:7" x14ac:dyDescent="0.2">
      <c r="A20" s="11" t="s">
        <v>121</v>
      </c>
      <c r="B20" s="17">
        <v>78949</v>
      </c>
      <c r="C20" s="17">
        <v>0</v>
      </c>
      <c r="D20" s="17">
        <v>89265</v>
      </c>
      <c r="E20" s="17">
        <v>89265</v>
      </c>
      <c r="F20" s="17">
        <v>94491</v>
      </c>
      <c r="G20" s="18">
        <f>IF(AND(F65&lt;&gt;0,94491&lt;&gt;0),IF(100*94491/(F65-0)&lt;0.005,"*",100*94491/(F65-0)),0)</f>
        <v>1.8638123622965144</v>
      </c>
    </row>
    <row r="21" spans="1:7" x14ac:dyDescent="0.2">
      <c r="A21" s="11" t="s">
        <v>122</v>
      </c>
      <c r="B21" s="17">
        <v>28155</v>
      </c>
      <c r="C21" s="17">
        <v>0</v>
      </c>
      <c r="D21" s="17">
        <v>31834</v>
      </c>
      <c r="E21" s="17">
        <v>31834</v>
      </c>
      <c r="F21" s="17">
        <v>33697</v>
      </c>
      <c r="G21" s="18">
        <f>IF(AND(F65&lt;&gt;0,33697&lt;&gt;0),IF(100*33697/(F65-0)&lt;0.005,"*",100*33697/(F65-0)),0)</f>
        <v>0.66466526094872158</v>
      </c>
    </row>
    <row r="22" spans="1:7" x14ac:dyDescent="0.2">
      <c r="A22" s="11" t="s">
        <v>123</v>
      </c>
      <c r="B22" s="17">
        <v>31942</v>
      </c>
      <c r="C22" s="17">
        <v>0</v>
      </c>
      <c r="D22" s="17">
        <v>36116</v>
      </c>
      <c r="E22" s="17">
        <v>36116</v>
      </c>
      <c r="F22" s="17">
        <v>38230</v>
      </c>
      <c r="G22" s="18">
        <f>IF(AND(F65&lt;&gt;0,38230&lt;&gt;0),IF(100*38230/(F65-0)&lt;0.005,"*",100*38230/(F65-0)),0)</f>
        <v>0.75407760115350397</v>
      </c>
    </row>
    <row r="23" spans="1:7" x14ac:dyDescent="0.2">
      <c r="A23" s="11" t="s">
        <v>124</v>
      </c>
      <c r="B23" s="17">
        <v>91614</v>
      </c>
      <c r="C23" s="17">
        <v>0</v>
      </c>
      <c r="D23" s="17">
        <v>103585</v>
      </c>
      <c r="E23" s="17">
        <v>103585</v>
      </c>
      <c r="F23" s="17">
        <v>109649</v>
      </c>
      <c r="G23" s="18">
        <f>IF(AND(F65&lt;&gt;0,109649&lt;&gt;0),IF(100*109649/(F65-0)&lt;0.005,"*",100*109649/(F65-0)),0)</f>
        <v>2.1628002848255443</v>
      </c>
    </row>
    <row r="24" spans="1:7" x14ac:dyDescent="0.2">
      <c r="A24" s="11" t="s">
        <v>125</v>
      </c>
      <c r="B24" s="17">
        <v>86009</v>
      </c>
      <c r="C24" s="17">
        <v>0</v>
      </c>
      <c r="D24" s="17">
        <v>97248</v>
      </c>
      <c r="E24" s="17">
        <v>97248</v>
      </c>
      <c r="F24" s="17">
        <v>102940</v>
      </c>
      <c r="G24" s="18">
        <f>IF(AND(F65&lt;&gt;0,102940&lt;&gt;0),IF(100*102940/(F65-0)&lt;0.005,"*",100*102940/(F65-0)),0)</f>
        <v>2.030466865360756</v>
      </c>
    </row>
    <row r="25" spans="1:7" x14ac:dyDescent="0.2">
      <c r="A25" s="11" t="s">
        <v>126</v>
      </c>
      <c r="B25" s="17">
        <v>12658</v>
      </c>
      <c r="C25" s="17">
        <v>0</v>
      </c>
      <c r="D25" s="17">
        <v>14312</v>
      </c>
      <c r="E25" s="17">
        <v>14312</v>
      </c>
      <c r="F25" s="17">
        <v>15150</v>
      </c>
      <c r="G25" s="18">
        <f>IF(AND(F65&lt;&gt;0,15150&lt;&gt;0),IF(100*15150/(F65-0)&lt;0.005,"*",100*15150/(F65-0)),0)</f>
        <v>0.2988301244435152</v>
      </c>
    </row>
    <row r="26" spans="1:7" x14ac:dyDescent="0.2">
      <c r="A26" s="11" t="s">
        <v>127</v>
      </c>
      <c r="B26" s="17">
        <v>67418</v>
      </c>
      <c r="C26" s="17">
        <v>0</v>
      </c>
      <c r="D26" s="17">
        <v>76228</v>
      </c>
      <c r="E26" s="17">
        <v>76228</v>
      </c>
      <c r="F26" s="17">
        <v>80690</v>
      </c>
      <c r="G26" s="18">
        <f>IF(AND(F65&lt;&gt;0,80690&lt;&gt;0),IF(100*80690/(F65-0)&lt;0.005,"*",100*80690/(F65-0)),0)</f>
        <v>1.5915909400229202</v>
      </c>
    </row>
    <row r="27" spans="1:7" x14ac:dyDescent="0.2">
      <c r="A27" s="11" t="s">
        <v>128</v>
      </c>
      <c r="B27" s="17">
        <v>62826</v>
      </c>
      <c r="C27" s="17">
        <v>0</v>
      </c>
      <c r="D27" s="17">
        <v>71036</v>
      </c>
      <c r="E27" s="17">
        <v>71036</v>
      </c>
      <c r="F27" s="17">
        <v>75194</v>
      </c>
      <c r="G27" s="18">
        <f>IF(AND(F65&lt;&gt;0,75194&lt;&gt;0),IF(100*75194/(F65-0)&lt;0.005,"*",100*75194/(F65-0)),0)</f>
        <v>1.4831836552743023</v>
      </c>
    </row>
    <row r="28" spans="1:7" x14ac:dyDescent="0.2">
      <c r="A28" s="11" t="s">
        <v>129</v>
      </c>
      <c r="B28" s="17">
        <v>112152</v>
      </c>
      <c r="C28" s="17">
        <v>0</v>
      </c>
      <c r="D28" s="17">
        <v>126807</v>
      </c>
      <c r="E28" s="17">
        <v>126807</v>
      </c>
      <c r="F28" s="17">
        <v>134230</v>
      </c>
      <c r="G28" s="18">
        <f>IF(AND(F65&lt;&gt;0,134230&lt;&gt;0),IF(100*134230/(F65-0)&lt;0.005,"*",100*134230/(F65-0)),0)</f>
        <v>2.6476546273302337</v>
      </c>
    </row>
    <row r="29" spans="1:7" x14ac:dyDescent="0.2">
      <c r="A29" s="11" t="s">
        <v>130</v>
      </c>
      <c r="B29" s="17">
        <v>53066</v>
      </c>
      <c r="C29" s="17">
        <v>0</v>
      </c>
      <c r="D29" s="17">
        <v>60000</v>
      </c>
      <c r="E29" s="17">
        <v>60000</v>
      </c>
      <c r="F29" s="17">
        <v>63512</v>
      </c>
      <c r="G29" s="18">
        <f>IF(AND(F65&lt;&gt;0,63512&lt;&gt;0),IF(100*63512/(F65-0)&lt;0.005,"*",100*63512/(F65-0)),0)</f>
        <v>1.2527590009014216</v>
      </c>
    </row>
    <row r="30" spans="1:7" x14ac:dyDescent="0.2">
      <c r="A30" s="11" t="s">
        <v>131</v>
      </c>
      <c r="B30" s="17">
        <v>64500</v>
      </c>
      <c r="C30" s="17">
        <v>0</v>
      </c>
      <c r="D30" s="17">
        <v>72928</v>
      </c>
      <c r="E30" s="17">
        <v>72928</v>
      </c>
      <c r="F30" s="17">
        <v>77197</v>
      </c>
      <c r="G30" s="18">
        <f>IF(AND(F65&lt;&gt;0,77197&lt;&gt;0),IF(100*77197/(F65-0)&lt;0.005,"*",100*77197/(F65-0)),0)</f>
        <v>1.5226923509350523</v>
      </c>
    </row>
    <row r="31" spans="1:7" x14ac:dyDescent="0.2">
      <c r="A31" s="11" t="s">
        <v>132</v>
      </c>
      <c r="B31" s="17">
        <v>76689</v>
      </c>
      <c r="C31" s="17">
        <v>0</v>
      </c>
      <c r="D31" s="17">
        <v>86710</v>
      </c>
      <c r="E31" s="17">
        <v>86710</v>
      </c>
      <c r="F31" s="17">
        <v>91786</v>
      </c>
      <c r="G31" s="18">
        <f>IF(AND(F65&lt;&gt;0,91786&lt;&gt;0),IF(100*91786/(F65-0)&lt;0.005,"*",100*91786/(F65-0)),0)</f>
        <v>1.8104568846318472</v>
      </c>
    </row>
    <row r="32" spans="1:7" x14ac:dyDescent="0.2">
      <c r="A32" s="11" t="s">
        <v>133</v>
      </c>
      <c r="B32" s="17">
        <v>9643</v>
      </c>
      <c r="C32" s="17">
        <v>0</v>
      </c>
      <c r="D32" s="17">
        <v>10903</v>
      </c>
      <c r="E32" s="17">
        <v>10903</v>
      </c>
      <c r="F32" s="17">
        <v>11541</v>
      </c>
      <c r="G32" s="18">
        <f>IF(AND(F65&lt;&gt;0,11541&lt;&gt;0),IF(100*11541/(F65-0)&lt;0.005,"*",100*11541/(F65-0)),0)</f>
        <v>0.22764346311568376</v>
      </c>
    </row>
    <row r="33" spans="1:7" x14ac:dyDescent="0.2">
      <c r="A33" s="11" t="s">
        <v>134</v>
      </c>
      <c r="B33" s="17">
        <v>18915</v>
      </c>
      <c r="C33" s="17">
        <v>0</v>
      </c>
      <c r="D33" s="17">
        <v>21387</v>
      </c>
      <c r="E33" s="17">
        <v>21387</v>
      </c>
      <c r="F33" s="17">
        <v>22639</v>
      </c>
      <c r="G33" s="18">
        <f>IF(AND(F65&lt;&gt;0,22639&lt;&gt;0),IF(100*22639/(F65-0)&lt;0.005,"*",100*22639/(F65-0)),0)</f>
        <v>0.44654885724598947</v>
      </c>
    </row>
    <row r="34" spans="1:7" x14ac:dyDescent="0.2">
      <c r="A34" s="11" t="s">
        <v>135</v>
      </c>
      <c r="B34" s="17">
        <v>40705</v>
      </c>
      <c r="C34" s="17">
        <v>0</v>
      </c>
      <c r="D34" s="17">
        <v>46024</v>
      </c>
      <c r="E34" s="17">
        <v>46024</v>
      </c>
      <c r="F34" s="17">
        <v>48718</v>
      </c>
      <c r="G34" s="18">
        <f>IF(AND(F65&lt;&gt;0,48718&lt;&gt;0),IF(100*48718/(F65-0)&lt;0.005,"*",100*48718/(F65-0)),0)</f>
        <v>0.96095089126331179</v>
      </c>
    </row>
    <row r="35" spans="1:7" x14ac:dyDescent="0.2">
      <c r="A35" s="11" t="s">
        <v>136</v>
      </c>
      <c r="B35" s="17">
        <v>5246</v>
      </c>
      <c r="C35" s="17">
        <v>0</v>
      </c>
      <c r="D35" s="17">
        <v>5932</v>
      </c>
      <c r="E35" s="17">
        <v>5932</v>
      </c>
      <c r="F35" s="17">
        <v>6279</v>
      </c>
      <c r="G35" s="18">
        <f>IF(AND(F65&lt;&gt;0,6279&lt;&gt;0),IF(100*6279/(F65-0)&lt;0.005,"*",100*6279/(F65-0)),0)</f>
        <v>0.12385177236837173</v>
      </c>
    </row>
    <row r="36" spans="1:7" x14ac:dyDescent="0.2">
      <c r="A36" s="11" t="s">
        <v>137</v>
      </c>
      <c r="B36" s="17">
        <v>95466</v>
      </c>
      <c r="C36" s="17">
        <v>0</v>
      </c>
      <c r="D36" s="17">
        <v>107941</v>
      </c>
      <c r="E36" s="17">
        <v>107941</v>
      </c>
      <c r="F36" s="17">
        <v>114259</v>
      </c>
      <c r="G36" s="18">
        <f>IF(AND(F65&lt;&gt;0,114259&lt;&gt;0),IF(100*114259/(F65-0)&lt;0.005,"*",100*114259/(F65-0)),0)</f>
        <v>2.2537314316034061</v>
      </c>
    </row>
    <row r="37" spans="1:7" x14ac:dyDescent="0.2">
      <c r="A37" s="11" t="s">
        <v>138</v>
      </c>
      <c r="B37" s="17">
        <v>43694</v>
      </c>
      <c r="C37" s="17">
        <v>0</v>
      </c>
      <c r="D37" s="17">
        <v>49404</v>
      </c>
      <c r="E37" s="17">
        <v>49404</v>
      </c>
      <c r="F37" s="17">
        <v>52295</v>
      </c>
      <c r="G37" s="18">
        <f>IF(AND(F65&lt;&gt;0,52295&lt;&gt;0),IF(100*52295/(F65-0)&lt;0.005,"*",100*52295/(F65-0)),0)</f>
        <v>1.0315063602490844</v>
      </c>
    </row>
    <row r="38" spans="1:7" x14ac:dyDescent="0.2">
      <c r="A38" s="11" t="s">
        <v>139</v>
      </c>
      <c r="B38" s="17">
        <v>232307</v>
      </c>
      <c r="C38" s="17">
        <v>0</v>
      </c>
      <c r="D38" s="17">
        <v>262663</v>
      </c>
      <c r="E38" s="17">
        <v>262663</v>
      </c>
      <c r="F38" s="17">
        <v>278038</v>
      </c>
      <c r="G38" s="18">
        <f>IF(AND(F65&lt;&gt;0,278038&lt;&gt;0),IF(100*278038/(F65-0)&lt;0.005,"*",100*278038/(F65-0)),0)</f>
        <v>5.4842330125429752</v>
      </c>
    </row>
    <row r="39" spans="1:7" x14ac:dyDescent="0.2">
      <c r="A39" s="11" t="s">
        <v>140</v>
      </c>
      <c r="B39" s="17">
        <v>138821</v>
      </c>
      <c r="C39" s="17">
        <v>0</v>
      </c>
      <c r="D39" s="17">
        <v>156961</v>
      </c>
      <c r="E39" s="17">
        <v>156961</v>
      </c>
      <c r="F39" s="17">
        <v>166149</v>
      </c>
      <c r="G39" s="18">
        <f>IF(AND(F65&lt;&gt;0,166149&lt;&gt;0),IF(100*166149/(F65-0)&lt;0.005,"*",100*166149/(F65-0)),0)</f>
        <v>3.2772492637733071</v>
      </c>
    </row>
    <row r="40" spans="1:7" x14ac:dyDescent="0.2">
      <c r="A40" s="11" t="s">
        <v>141</v>
      </c>
      <c r="B40" s="17">
        <v>5524</v>
      </c>
      <c r="C40" s="17">
        <v>0</v>
      </c>
      <c r="D40" s="17">
        <v>6246</v>
      </c>
      <c r="E40" s="17">
        <v>6246</v>
      </c>
      <c r="F40" s="17">
        <v>6611</v>
      </c>
      <c r="G40" s="18">
        <f>IF(AND(F65&lt;&gt;0,6611&lt;&gt;0),IF(100*6611/(F65-0)&lt;0.005,"*",100*6611/(F65-0)),0)</f>
        <v>0.13040039291723293</v>
      </c>
    </row>
    <row r="41" spans="1:7" x14ac:dyDescent="0.2">
      <c r="A41" s="11" t="s">
        <v>142</v>
      </c>
      <c r="B41" s="17">
        <v>126494</v>
      </c>
      <c r="C41" s="17">
        <v>0</v>
      </c>
      <c r="D41" s="17">
        <v>143023</v>
      </c>
      <c r="E41" s="17">
        <v>143023</v>
      </c>
      <c r="F41" s="17">
        <v>151395</v>
      </c>
      <c r="G41" s="18">
        <f>IF(AND(F65&lt;&gt;0,151395&lt;&gt;0),IF(100*151395/(F65-0)&lt;0.005,"*",100*151395/(F65-0)),0)</f>
        <v>2.986230144562771</v>
      </c>
    </row>
    <row r="42" spans="1:7" x14ac:dyDescent="0.2">
      <c r="A42" s="11" t="s">
        <v>143</v>
      </c>
      <c r="B42" s="17">
        <v>60387</v>
      </c>
      <c r="C42" s="17">
        <v>0</v>
      </c>
      <c r="D42" s="17">
        <v>68278</v>
      </c>
      <c r="E42" s="17">
        <v>68278</v>
      </c>
      <c r="F42" s="17">
        <v>72275</v>
      </c>
      <c r="G42" s="18">
        <f>IF(AND(F65&lt;&gt;0,72275&lt;&gt;0),IF(100*72275/(F65-0)&lt;0.005,"*",100*72275/(F65-0)),0)</f>
        <v>1.4256070788221162</v>
      </c>
    </row>
    <row r="43" spans="1:7" x14ac:dyDescent="0.2">
      <c r="A43" s="11" t="s">
        <v>144</v>
      </c>
      <c r="B43" s="17">
        <v>38465</v>
      </c>
      <c r="C43" s="17">
        <v>0</v>
      </c>
      <c r="D43" s="17">
        <v>43491</v>
      </c>
      <c r="E43" s="17">
        <v>43491</v>
      </c>
      <c r="F43" s="17">
        <v>46037</v>
      </c>
      <c r="G43" s="18">
        <f>IF(AND(F65&lt;&gt;0,46037&lt;&gt;0),IF(100*46037/(F65-0)&lt;0.005,"*",100*46037/(F65-0)),0)</f>
        <v>0.90806880785518873</v>
      </c>
    </row>
    <row r="44" spans="1:7" x14ac:dyDescent="0.2">
      <c r="A44" s="11" t="s">
        <v>145</v>
      </c>
      <c r="B44" s="17">
        <v>117436</v>
      </c>
      <c r="C44" s="17">
        <v>0</v>
      </c>
      <c r="D44" s="17">
        <v>132782</v>
      </c>
      <c r="E44" s="17">
        <v>132782</v>
      </c>
      <c r="F44" s="17">
        <v>140554</v>
      </c>
      <c r="G44" s="18">
        <f>IF(AND(F65&lt;&gt;0,140554&lt;&gt;0),IF(100*140554/(F65-0)&lt;0.005,"*",100*140554/(F65-0)),0)</f>
        <v>2.7723940139296261</v>
      </c>
    </row>
    <row r="45" spans="1:7" x14ac:dyDescent="0.2">
      <c r="A45" s="11" t="s">
        <v>146</v>
      </c>
      <c r="B45" s="17">
        <v>10282</v>
      </c>
      <c r="C45" s="17">
        <v>0</v>
      </c>
      <c r="D45" s="17">
        <v>11626</v>
      </c>
      <c r="E45" s="17">
        <v>11626</v>
      </c>
      <c r="F45" s="17">
        <v>12306</v>
      </c>
      <c r="G45" s="18">
        <f>IF(AND(F65&lt;&gt;0,12306&lt;&gt;0),IF(100*12306/(F65-0)&lt;0.005,"*",100*12306/(F65-0)),0)</f>
        <v>0.24273290504302958</v>
      </c>
    </row>
    <row r="46" spans="1:7" x14ac:dyDescent="0.2">
      <c r="A46" s="11" t="s">
        <v>147</v>
      </c>
      <c r="B46" s="17">
        <v>78041</v>
      </c>
      <c r="C46" s="17">
        <v>0</v>
      </c>
      <c r="D46" s="17">
        <v>88239</v>
      </c>
      <c r="E46" s="17">
        <v>88239</v>
      </c>
      <c r="F46" s="17">
        <v>93404</v>
      </c>
      <c r="G46" s="18">
        <f>IF(AND(F65&lt;&gt;0,93404&lt;&gt;0),IF(100*93404/(F65-0)&lt;0.005,"*",100*93404/(F65-0)),0)</f>
        <v>1.8423715474272009</v>
      </c>
    </row>
    <row r="47" spans="1:7" x14ac:dyDescent="0.2">
      <c r="A47" s="11" t="s">
        <v>148</v>
      </c>
      <c r="B47" s="17">
        <v>7596</v>
      </c>
      <c r="C47" s="17">
        <v>0</v>
      </c>
      <c r="D47" s="17">
        <v>8589</v>
      </c>
      <c r="E47" s="17">
        <v>8589</v>
      </c>
      <c r="F47" s="17">
        <v>9091</v>
      </c>
      <c r="G47" s="18">
        <f>IF(AND(F65&lt;&gt;0,9091&lt;&gt;0),IF(100*9091/(F65-0)&lt;0.005,"*",100*9091/(F65-0)),0)</f>
        <v>0.17931779942679846</v>
      </c>
    </row>
    <row r="48" spans="1:7" x14ac:dyDescent="0.2">
      <c r="A48" s="11" t="s">
        <v>149</v>
      </c>
      <c r="B48" s="17">
        <v>114075</v>
      </c>
      <c r="C48" s="17">
        <v>0</v>
      </c>
      <c r="D48" s="17">
        <v>128981</v>
      </c>
      <c r="E48" s="17">
        <v>128981</v>
      </c>
      <c r="F48" s="17">
        <v>136531</v>
      </c>
      <c r="G48" s="18">
        <f>IF(AND(F65&lt;&gt;0,136531&lt;&gt;0),IF(100*136531/(F65-0)&lt;0.005,"*",100*136531/(F65-0)),0)</f>
        <v>2.6930413016764074</v>
      </c>
    </row>
    <row r="49" spans="1:7" x14ac:dyDescent="0.2">
      <c r="A49" s="11" t="s">
        <v>150</v>
      </c>
      <c r="B49" s="17">
        <v>560671</v>
      </c>
      <c r="C49" s="17">
        <v>0</v>
      </c>
      <c r="D49" s="17">
        <v>633935</v>
      </c>
      <c r="E49" s="17">
        <v>633935</v>
      </c>
      <c r="F49" s="17">
        <v>671043</v>
      </c>
      <c r="G49" s="18">
        <f>IF(AND(F65&lt;&gt;0,671043&lt;&gt;0),IF(100*671043/(F65-0)&lt;0.005,"*",100*671043/(F65-0)),0)</f>
        <v>13.236162587257411</v>
      </c>
    </row>
    <row r="50" spans="1:7" x14ac:dyDescent="0.2">
      <c r="A50" s="11" t="s">
        <v>151</v>
      </c>
      <c r="B50" s="17">
        <v>22788</v>
      </c>
      <c r="C50" s="17">
        <v>0</v>
      </c>
      <c r="D50" s="17">
        <v>25766</v>
      </c>
      <c r="E50" s="17">
        <v>25766</v>
      </c>
      <c r="F50" s="17">
        <v>27274</v>
      </c>
      <c r="G50" s="18">
        <f>IF(AND(F65&lt;&gt;0,27274&lt;&gt;0),IF(100*27274/(F65-0)&lt;0.005,"*",100*27274/(F65-0)),0)</f>
        <v>0.53797312304108469</v>
      </c>
    </row>
    <row r="51" spans="1:7" x14ac:dyDescent="0.2">
      <c r="A51" s="11" t="s">
        <v>152</v>
      </c>
      <c r="B51" s="17">
        <v>6236</v>
      </c>
      <c r="C51" s="17">
        <v>0</v>
      </c>
      <c r="D51" s="17">
        <v>7051</v>
      </c>
      <c r="E51" s="17">
        <v>7051</v>
      </c>
      <c r="F51" s="17">
        <v>7464</v>
      </c>
      <c r="G51" s="18">
        <f>IF(AND(F65&lt;&gt;0,7464&lt;&gt;0),IF(100*7464/(F65-0)&lt;0.005,"*",100*7464/(F65-0)),0)</f>
        <v>0.14722561378524074</v>
      </c>
    </row>
    <row r="52" spans="1:7" x14ac:dyDescent="0.2">
      <c r="A52" s="11" t="s">
        <v>153</v>
      </c>
      <c r="B52" s="17">
        <v>90025</v>
      </c>
      <c r="C52" s="17">
        <v>0</v>
      </c>
      <c r="D52" s="17">
        <v>101789</v>
      </c>
      <c r="E52" s="17">
        <v>101789</v>
      </c>
      <c r="F52" s="17">
        <v>107747</v>
      </c>
      <c r="G52" s="18">
        <f>IF(AND(F65&lt;&gt;0,107747&lt;&gt;0),IF(100*107747/(F65-0)&lt;0.005,"*",100*107747/(F65-0)),0)</f>
        <v>2.1252837899944179</v>
      </c>
    </row>
    <row r="53" spans="1:7" x14ac:dyDescent="0.2">
      <c r="A53" s="11" t="s">
        <v>154</v>
      </c>
      <c r="B53" s="17">
        <v>55476</v>
      </c>
      <c r="C53" s="17">
        <v>0</v>
      </c>
      <c r="D53" s="17">
        <v>62725</v>
      </c>
      <c r="E53" s="17">
        <v>62725</v>
      </c>
      <c r="F53" s="17">
        <v>66397</v>
      </c>
      <c r="G53" s="18">
        <f>IF(AND(F65&lt;&gt;0,66397&lt;&gt;0),IF(100*66397/(F65-0)&lt;0.005,"*",100*66397/(F65-0)),0)</f>
        <v>1.3096649354901702</v>
      </c>
    </row>
    <row r="54" spans="1:7" x14ac:dyDescent="0.2">
      <c r="A54" s="11" t="s">
        <v>155</v>
      </c>
      <c r="B54" s="17">
        <v>42667</v>
      </c>
      <c r="C54" s="17">
        <v>0</v>
      </c>
      <c r="D54" s="17">
        <v>48242</v>
      </c>
      <c r="E54" s="17">
        <v>48242</v>
      </c>
      <c r="F54" s="17">
        <v>51066</v>
      </c>
      <c r="G54" s="18">
        <f>IF(AND(F65&lt;&gt;0,51066&lt;&gt;0),IF(100*51066/(F65-0)&lt;0.005,"*",100*51066/(F65-0)),0)</f>
        <v>1.0072646293618843</v>
      </c>
    </row>
    <row r="55" spans="1:7" x14ac:dyDescent="0.2">
      <c r="A55" s="11" t="s">
        <v>156</v>
      </c>
      <c r="B55" s="17">
        <v>52031</v>
      </c>
      <c r="C55" s="17">
        <v>0</v>
      </c>
      <c r="D55" s="17">
        <v>58830</v>
      </c>
      <c r="E55" s="17">
        <v>58830</v>
      </c>
      <c r="F55" s="17">
        <v>62274</v>
      </c>
      <c r="G55" s="18">
        <f>IF(AND(F65&lt;&gt;0,62274&lt;&gt;0),IF(100*62274/(F65-0)&lt;0.005,"*",100*62274/(F65-0)),0)</f>
        <v>1.2283397471680175</v>
      </c>
    </row>
    <row r="56" spans="1:7" x14ac:dyDescent="0.2">
      <c r="A56" s="11" t="s">
        <v>157</v>
      </c>
      <c r="B56" s="17">
        <v>3975</v>
      </c>
      <c r="C56" s="17">
        <v>0</v>
      </c>
      <c r="D56" s="17">
        <v>4494</v>
      </c>
      <c r="E56" s="17">
        <v>4494</v>
      </c>
      <c r="F56" s="17">
        <v>4758</v>
      </c>
      <c r="G56" s="18">
        <f>IF(AND(F65&lt;&gt;0,4758&lt;&gt;0),IF(100*4758/(F65-0)&lt;0.005,"*",100*4758/(F65-0)),0)</f>
        <v>9.3850411359884173E-2</v>
      </c>
    </row>
    <row r="57" spans="1:7" x14ac:dyDescent="0.2">
      <c r="A57" s="11" t="s">
        <v>158</v>
      </c>
      <c r="B57" s="17">
        <v>0</v>
      </c>
      <c r="C57" s="17">
        <v>0</v>
      </c>
      <c r="D57" s="17">
        <v>0</v>
      </c>
      <c r="E57" s="17">
        <v>0</v>
      </c>
      <c r="F57" s="17">
        <v>0</v>
      </c>
      <c r="G57" s="18">
        <f>IF(AND(F65&lt;&gt;0,0&lt;&gt;0),IF(100*0/(F65-0)&lt;0.005,"*",100*0/(F65-0)),0)</f>
        <v>0</v>
      </c>
    </row>
    <row r="58" spans="1:7" x14ac:dyDescent="0.2">
      <c r="A58" s="11" t="s">
        <v>159</v>
      </c>
      <c r="B58" s="17">
        <v>3044</v>
      </c>
      <c r="C58" s="17">
        <v>0</v>
      </c>
      <c r="D58" s="17">
        <v>3442</v>
      </c>
      <c r="E58" s="17">
        <v>3442</v>
      </c>
      <c r="F58" s="17">
        <v>3643</v>
      </c>
      <c r="G58" s="18">
        <f>IF(AND(F65&lt;&gt;0,3643&lt;&gt;0),IF(100*3643/(F65-0)&lt;0.005,"*",100*3643/(F65-0)),0)</f>
        <v>7.1857303191269026E-2</v>
      </c>
    </row>
    <row r="59" spans="1:7" x14ac:dyDescent="0.2">
      <c r="A59" s="11" t="s">
        <v>160</v>
      </c>
      <c r="B59" s="17">
        <v>0</v>
      </c>
      <c r="C59" s="17">
        <v>0</v>
      </c>
      <c r="D59" s="17">
        <v>0</v>
      </c>
      <c r="E59" s="17">
        <v>0</v>
      </c>
      <c r="F59" s="17">
        <v>0</v>
      </c>
      <c r="G59" s="18">
        <f>IF(AND(F65&lt;&gt;0,0&lt;&gt;0),IF(100*0/(F65-0)&lt;0.005,"*",100*0/(F65-0)),0)</f>
        <v>0</v>
      </c>
    </row>
    <row r="60" spans="1:7" x14ac:dyDescent="0.2">
      <c r="A60" s="11" t="s">
        <v>161</v>
      </c>
      <c r="B60" s="17">
        <v>28231</v>
      </c>
      <c r="C60" s="17">
        <v>0</v>
      </c>
      <c r="D60" s="17">
        <v>31920</v>
      </c>
      <c r="E60" s="17">
        <v>31920</v>
      </c>
      <c r="F60" s="17">
        <v>33788</v>
      </c>
      <c r="G60" s="18">
        <f>IF(AND(F65&lt;&gt;0,33788&lt;&gt;0),IF(100*33788/(F65-0)&lt;0.005,"*",100*33788/(F65-0)),0)</f>
        <v>0.66646021417145151</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1015</v>
      </c>
      <c r="C62" s="17">
        <v>0</v>
      </c>
      <c r="D62" s="17">
        <v>1148</v>
      </c>
      <c r="E62" s="17">
        <v>1148</v>
      </c>
      <c r="F62" s="17">
        <v>1215</v>
      </c>
      <c r="G62" s="18">
        <f>IF(AND(F65&lt;&gt;0,1215&lt;&gt;0),IF(100*1215/(F65-0)&lt;0.005,"*",100*1215/(F65-0)),0)</f>
        <v>2.3965584237549239E-2</v>
      </c>
    </row>
    <row r="63" spans="1:7" x14ac:dyDescent="0.2">
      <c r="A63" s="11" t="s">
        <v>164</v>
      </c>
      <c r="B63" s="17">
        <v>0</v>
      </c>
      <c r="C63" s="17">
        <v>0</v>
      </c>
      <c r="D63" s="17">
        <v>0</v>
      </c>
      <c r="E63" s="17">
        <v>0</v>
      </c>
      <c r="F63" s="17">
        <v>0</v>
      </c>
      <c r="G63" s="18">
        <f>IF(AND(F65&lt;&gt;0,0&lt;&gt;0),IF(100*0/(F65-0)&lt;0.005,"*",100*0/(F65-0)),0)</f>
        <v>0</v>
      </c>
    </row>
    <row r="64" spans="1:7" x14ac:dyDescent="0.2">
      <c r="A64" s="11" t="s">
        <v>165</v>
      </c>
      <c r="B64" s="17">
        <v>149599</v>
      </c>
      <c r="C64" s="17">
        <v>0</v>
      </c>
      <c r="D64" s="17">
        <v>0</v>
      </c>
      <c r="E64" s="17">
        <v>0</v>
      </c>
      <c r="F64" s="17">
        <v>0</v>
      </c>
      <c r="G64" s="18">
        <v>0</v>
      </c>
    </row>
    <row r="65" spans="1:7" ht="15" customHeight="1" x14ac:dyDescent="0.2">
      <c r="A65" s="19" t="s">
        <v>106</v>
      </c>
      <c r="B65" s="20">
        <f>78169+13002+94310+53962+513900+48526+31880+14283+11349+244080+189245+11068+18266+138629+78949+28155+31942+91614+86009+12658+67418+62826+112152+53066+64500+76689+9643+18915+40705+5246+95466+43694+232307+138821+5524+126494+60387+38465+117436+10282+78041+7596+114075+560671+22788+6236+90025+55476+42667+52031+3975+0+3044+0+28231+0+1015+0+149599+0</f>
        <v>4385502</v>
      </c>
      <c r="C65" s="20">
        <f>0+0+0+0+0+0+0+0+0+0+0+0+0+0+0+0+0+0+0+0+0+0+0+0+0+0+0+0+0+0+0+0+0+0+0+0+0+0+0+0+0+0+0+0+0+0+0+0+0+0+0+0+0+0+0+0+0+0+0+0</f>
        <v>0</v>
      </c>
      <c r="D65" s="20">
        <f>88384+14701+106634+61013+581052+54867+36046+16149+12832+275974+213974+12514+20653+156744+89265+31834+36116+103585+97248+14312+76228+71036+126807+60000+72928+86710+10903+21387+46024+5932+107941+49404+262663+156961+6246+143023+68278+43491+132782+11626+88239+8589+128981+633935+25766+7051+101789+62725+48242+58830+4494+0+3442+0+31920+0+1148+0+0+0</f>
        <v>4789418</v>
      </c>
      <c r="E65" s="20">
        <f>SUM(C65:D65)</f>
        <v>4789418</v>
      </c>
      <c r="F65" s="20">
        <f>93557+15562+112876+64585+615064+58079+38156+17095+13583+292129+226499+13247+21862+165919+94491+33697+38230+109649+102940+15150+80690+75194+134230+63512+77197+91786+11541+22639+48718+6279+114259+52295+278038+166149+6611+151395+72275+46037+140554+12306+93404+9091+136531+671043+27274+7464+107747+66397+51066+62274+4758+0+3643+0+33788+0+1215+0+0+0</f>
        <v>5069770</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95</v>
      </c>
      <c r="B1" s="10"/>
      <c r="C1" s="10"/>
      <c r="D1" s="10"/>
      <c r="E1" s="10"/>
      <c r="F1" s="10"/>
      <c r="G1" s="12" t="s">
        <v>96</v>
      </c>
    </row>
    <row r="2" spans="1:7" x14ac:dyDescent="0.2">
      <c r="A2" s="13" t="s">
        <v>169</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212288</v>
      </c>
      <c r="C6" s="17">
        <v>13254</v>
      </c>
      <c r="D6" s="17">
        <v>211556</v>
      </c>
      <c r="E6" s="17">
        <v>224810</v>
      </c>
      <c r="F6" s="17">
        <v>228945</v>
      </c>
      <c r="G6" s="18">
        <f>IF(AND(F65&lt;&gt;0,228945&lt;&gt;0),IF(100*228945/(F65-0)&lt;0.005,"*",100*228945/(F65-0)),0)</f>
        <v>1.740465431678303</v>
      </c>
    </row>
    <row r="7" spans="1:7" x14ac:dyDescent="0.2">
      <c r="A7" s="11" t="s">
        <v>108</v>
      </c>
      <c r="B7" s="17">
        <v>37764</v>
      </c>
      <c r="C7" s="17">
        <v>2358</v>
      </c>
      <c r="D7" s="17">
        <v>37634</v>
      </c>
      <c r="E7" s="17">
        <v>39992</v>
      </c>
      <c r="F7" s="17">
        <v>40727</v>
      </c>
      <c r="G7" s="18">
        <f>IF(AND(F65&lt;&gt;0,40727&lt;&gt;0),IF(100*40727/(F65-0)&lt;0.005,"*",100*40727/(F65-0)),0)</f>
        <v>0.30961119760624711</v>
      </c>
    </row>
    <row r="8" spans="1:7" x14ac:dyDescent="0.2">
      <c r="A8" s="11" t="s">
        <v>109</v>
      </c>
      <c r="B8" s="17">
        <v>280631</v>
      </c>
      <c r="C8" s="17">
        <v>17521</v>
      </c>
      <c r="D8" s="17">
        <v>279664</v>
      </c>
      <c r="E8" s="17">
        <v>297185</v>
      </c>
      <c r="F8" s="17">
        <v>302650</v>
      </c>
      <c r="G8" s="18">
        <f>IF(AND(F65&lt;&gt;0,302650&lt;&gt;0),IF(100*302650/(F65-0)&lt;0.005,"*",100*302650/(F65-0)),0)</f>
        <v>2.3007790643929256</v>
      </c>
    </row>
    <row r="9" spans="1:7" x14ac:dyDescent="0.2">
      <c r="A9" s="11" t="s">
        <v>110</v>
      </c>
      <c r="B9" s="17">
        <v>135798</v>
      </c>
      <c r="C9" s="17">
        <v>8478</v>
      </c>
      <c r="D9" s="17">
        <v>135330</v>
      </c>
      <c r="E9" s="17">
        <v>143808</v>
      </c>
      <c r="F9" s="17">
        <v>146453</v>
      </c>
      <c r="G9" s="18">
        <f>IF(AND(F65&lt;&gt;0,146453&lt;&gt;0),IF(100*146453/(F65-0)&lt;0.005,"*",100*146453/(F65-0)),0)</f>
        <v>1.1133520446639258</v>
      </c>
    </row>
    <row r="10" spans="1:7" x14ac:dyDescent="0.2">
      <c r="A10" s="11" t="s">
        <v>111</v>
      </c>
      <c r="B10" s="17">
        <v>1491133</v>
      </c>
      <c r="C10" s="17">
        <v>93096</v>
      </c>
      <c r="D10" s="17">
        <v>1485993</v>
      </c>
      <c r="E10" s="17">
        <v>1579089</v>
      </c>
      <c r="F10" s="17">
        <v>1608131</v>
      </c>
      <c r="G10" s="18">
        <f>IF(AND(F65&lt;&gt;0,1608131&lt;&gt;0),IF(100*1608131/(F65-0)&lt;0.005,"*",100*1608131/(F65-0)),0)</f>
        <v>12.225191269126913</v>
      </c>
    </row>
    <row r="11" spans="1:7" x14ac:dyDescent="0.2">
      <c r="A11" s="11" t="s">
        <v>112</v>
      </c>
      <c r="B11" s="17">
        <v>133459</v>
      </c>
      <c r="C11" s="17">
        <v>8332</v>
      </c>
      <c r="D11" s="17">
        <v>132999</v>
      </c>
      <c r="E11" s="17">
        <v>141331</v>
      </c>
      <c r="F11" s="17">
        <v>143930</v>
      </c>
      <c r="G11" s="18">
        <f>IF(AND(F65&lt;&gt;0,143930&lt;&gt;0),IF(100*143930/(F65-0)&lt;0.005,"*",100*143930/(F65-0)),0)</f>
        <v>1.0941719171917192</v>
      </c>
    </row>
    <row r="12" spans="1:7" x14ac:dyDescent="0.2">
      <c r="A12" s="11" t="s">
        <v>113</v>
      </c>
      <c r="B12" s="17">
        <v>101996</v>
      </c>
      <c r="C12" s="17">
        <v>6368</v>
      </c>
      <c r="D12" s="17">
        <v>101644</v>
      </c>
      <c r="E12" s="17">
        <v>108012</v>
      </c>
      <c r="F12" s="17">
        <v>109999</v>
      </c>
      <c r="G12" s="18">
        <f>IF(AND(F65&lt;&gt;0,109999&lt;&gt;0),IF(100*109999/(F65-0)&lt;0.005,"*",100*109999/(F65-0)),0)</f>
        <v>0.83622466976427368</v>
      </c>
    </row>
    <row r="13" spans="1:7" x14ac:dyDescent="0.2">
      <c r="A13" s="11" t="s">
        <v>114</v>
      </c>
      <c r="B13" s="17">
        <v>36932</v>
      </c>
      <c r="C13" s="17">
        <v>2306</v>
      </c>
      <c r="D13" s="17">
        <v>36805</v>
      </c>
      <c r="E13" s="17">
        <v>39111</v>
      </c>
      <c r="F13" s="17">
        <v>39830</v>
      </c>
      <c r="G13" s="18">
        <f>IF(AND(F65&lt;&gt;0,39830&lt;&gt;0),IF(100*39830/(F65-0)&lt;0.005,"*",100*39830/(F65-0)),0)</f>
        <v>0.30279210353467778</v>
      </c>
    </row>
    <row r="14" spans="1:7" x14ac:dyDescent="0.2">
      <c r="A14" s="11" t="s">
        <v>115</v>
      </c>
      <c r="B14" s="17">
        <v>28339</v>
      </c>
      <c r="C14" s="17">
        <v>1769</v>
      </c>
      <c r="D14" s="17">
        <v>28241</v>
      </c>
      <c r="E14" s="17">
        <v>30010</v>
      </c>
      <c r="F14" s="17">
        <v>30563</v>
      </c>
      <c r="G14" s="18">
        <f>IF(AND(F65&lt;&gt;0,30563&lt;&gt;0),IF(100*30563/(F65-0)&lt;0.005,"*",100*30563/(F65-0)),0)</f>
        <v>0.23234333568491985</v>
      </c>
    </row>
    <row r="15" spans="1:7" x14ac:dyDescent="0.2">
      <c r="A15" s="11" t="s">
        <v>116</v>
      </c>
      <c r="B15" s="17">
        <v>770725</v>
      </c>
      <c r="C15" s="17">
        <v>48118</v>
      </c>
      <c r="D15" s="17">
        <v>768068</v>
      </c>
      <c r="E15" s="17">
        <v>816186</v>
      </c>
      <c r="F15" s="17">
        <v>831198</v>
      </c>
      <c r="G15" s="18">
        <f>IF(AND(F65&lt;&gt;0,831198&lt;&gt;0),IF(100*831198/(F65-0)&lt;0.005,"*",100*831198/(F65-0)),0)</f>
        <v>6.3188599265331939</v>
      </c>
    </row>
    <row r="16" spans="1:7" x14ac:dyDescent="0.2">
      <c r="A16" s="11" t="s">
        <v>117</v>
      </c>
      <c r="B16" s="17">
        <v>520709</v>
      </c>
      <c r="C16" s="17">
        <v>32509</v>
      </c>
      <c r="D16" s="17">
        <v>518914</v>
      </c>
      <c r="E16" s="17">
        <v>551423</v>
      </c>
      <c r="F16" s="17">
        <v>561565</v>
      </c>
      <c r="G16" s="18">
        <f>IF(AND(F65&lt;&gt;0,561565&lt;&gt;0),IF(100*561565/(F65-0)&lt;0.005,"*",100*561565/(F65-0)),0)</f>
        <v>4.2690797795995818</v>
      </c>
    </row>
    <row r="17" spans="1:7" x14ac:dyDescent="0.2">
      <c r="A17" s="11" t="s">
        <v>118</v>
      </c>
      <c r="B17" s="17">
        <v>44355</v>
      </c>
      <c r="C17" s="17">
        <v>2769</v>
      </c>
      <c r="D17" s="17">
        <v>44202</v>
      </c>
      <c r="E17" s="17">
        <v>46971</v>
      </c>
      <c r="F17" s="17">
        <v>47835</v>
      </c>
      <c r="G17" s="18">
        <f>IF(AND(F65&lt;&gt;0,47835&lt;&gt;0),IF(100*47835/(F65-0)&lt;0.005,"*",100*47835/(F65-0)),0)</f>
        <v>0.36364700659255117</v>
      </c>
    </row>
    <row r="18" spans="1:7" x14ac:dyDescent="0.2">
      <c r="A18" s="11" t="s">
        <v>119</v>
      </c>
      <c r="B18" s="17">
        <v>51431</v>
      </c>
      <c r="C18" s="17">
        <v>3211</v>
      </c>
      <c r="D18" s="17">
        <v>51254</v>
      </c>
      <c r="E18" s="17">
        <v>54465</v>
      </c>
      <c r="F18" s="17">
        <v>55466</v>
      </c>
      <c r="G18" s="18">
        <f>IF(AND(F65&lt;&gt;0,55466&lt;&gt;0),IF(100*55466/(F65-0)&lt;0.005,"*",100*55466/(F65-0)),0)</f>
        <v>0.42165871992604664</v>
      </c>
    </row>
    <row r="19" spans="1:7" x14ac:dyDescent="0.2">
      <c r="A19" s="11" t="s">
        <v>120</v>
      </c>
      <c r="B19" s="17">
        <v>460372</v>
      </c>
      <c r="C19" s="17">
        <v>28742</v>
      </c>
      <c r="D19" s="17">
        <v>458785</v>
      </c>
      <c r="E19" s="17">
        <v>487527</v>
      </c>
      <c r="F19" s="17">
        <v>496494</v>
      </c>
      <c r="G19" s="18">
        <f>IF(AND(F65&lt;&gt;0,496494&lt;&gt;0),IF(100*496494/(F65-0)&lt;0.005,"*",100*496494/(F65-0)),0)</f>
        <v>3.7744027781156495</v>
      </c>
    </row>
    <row r="20" spans="1:7" x14ac:dyDescent="0.2">
      <c r="A20" s="11" t="s">
        <v>121</v>
      </c>
      <c r="B20" s="17">
        <v>259469</v>
      </c>
      <c r="C20" s="17">
        <v>16199</v>
      </c>
      <c r="D20" s="17">
        <v>258575</v>
      </c>
      <c r="E20" s="17">
        <v>274774</v>
      </c>
      <c r="F20" s="17">
        <v>279828</v>
      </c>
      <c r="G20" s="18">
        <f>IF(AND(F65&lt;&gt;0,279828&lt;&gt;0),IF(100*279828/(F65-0)&lt;0.005,"*",100*279828/(F65-0)),0)</f>
        <v>2.1272836743133774</v>
      </c>
    </row>
    <row r="21" spans="1:7" x14ac:dyDescent="0.2">
      <c r="A21" s="11" t="s">
        <v>122</v>
      </c>
      <c r="B21" s="17">
        <v>112839</v>
      </c>
      <c r="C21" s="17">
        <v>7045</v>
      </c>
      <c r="D21" s="17">
        <v>112450</v>
      </c>
      <c r="E21" s="17">
        <v>119495</v>
      </c>
      <c r="F21" s="17">
        <v>121693</v>
      </c>
      <c r="G21" s="18">
        <f>IF(AND(F65&lt;&gt;0,121693&lt;&gt;0),IF(100*121693/(F65-0)&lt;0.005,"*",100*121693/(F65-0)),0)</f>
        <v>0.92512376237623761</v>
      </c>
    </row>
    <row r="22" spans="1:7" x14ac:dyDescent="0.2">
      <c r="A22" s="11" t="s">
        <v>123</v>
      </c>
      <c r="B22" s="17">
        <v>107307</v>
      </c>
      <c r="C22" s="17">
        <v>6699</v>
      </c>
      <c r="D22" s="17">
        <v>106937</v>
      </c>
      <c r="E22" s="17">
        <v>113636</v>
      </c>
      <c r="F22" s="17">
        <v>115727</v>
      </c>
      <c r="G22" s="18">
        <f>IF(AND(F65&lt;&gt;0,115727&lt;&gt;0),IF(100*115727/(F65-0)&lt;0.005,"*",100*115727/(F65-0)),0)</f>
        <v>0.87976956479431723</v>
      </c>
    </row>
    <row r="23" spans="1:7" x14ac:dyDescent="0.2">
      <c r="A23" s="11" t="s">
        <v>124</v>
      </c>
      <c r="B23" s="17">
        <v>227724</v>
      </c>
      <c r="C23" s="17">
        <v>14217</v>
      </c>
      <c r="D23" s="17">
        <v>226939</v>
      </c>
      <c r="E23" s="17">
        <v>241156</v>
      </c>
      <c r="F23" s="17">
        <v>245592</v>
      </c>
      <c r="G23" s="18">
        <f>IF(AND(F65&lt;&gt;0,245592&lt;&gt;0),IF(100*245592/(F65-0)&lt;0.005,"*",100*245592/(F65-0)),0)</f>
        <v>1.867017782859367</v>
      </c>
    </row>
    <row r="24" spans="1:7" x14ac:dyDescent="0.2">
      <c r="A24" s="11" t="s">
        <v>125</v>
      </c>
      <c r="B24" s="17">
        <v>245747</v>
      </c>
      <c r="C24" s="17">
        <v>15343</v>
      </c>
      <c r="D24" s="17">
        <v>244900</v>
      </c>
      <c r="E24" s="17">
        <v>260243</v>
      </c>
      <c r="F24" s="17">
        <v>265029</v>
      </c>
      <c r="G24" s="18">
        <f>IF(AND(F65&lt;&gt;0,265029&lt;&gt;0),IF(100*265029/(F65-0)&lt;0.005,"*",100*265029/(F65-0)),0)</f>
        <v>2.0147800252998271</v>
      </c>
    </row>
    <row r="25" spans="1:7" x14ac:dyDescent="0.2">
      <c r="A25" s="11" t="s">
        <v>126</v>
      </c>
      <c r="B25" s="17">
        <v>34159</v>
      </c>
      <c r="C25" s="17">
        <v>2133</v>
      </c>
      <c r="D25" s="17">
        <v>34041</v>
      </c>
      <c r="E25" s="17">
        <v>36174</v>
      </c>
      <c r="F25" s="17">
        <v>36839</v>
      </c>
      <c r="G25" s="18">
        <f>IF(AND(F65&lt;&gt;0,36839&lt;&gt;0),IF(100*36839/(F65-0)&lt;0.005,"*",100*36839/(F65-0)),0)</f>
        <v>0.28005418785121755</v>
      </c>
    </row>
    <row r="26" spans="1:7" x14ac:dyDescent="0.2">
      <c r="A26" s="11" t="s">
        <v>127</v>
      </c>
      <c r="B26" s="17">
        <v>170431</v>
      </c>
      <c r="C26" s="17">
        <v>10640</v>
      </c>
      <c r="D26" s="17">
        <v>169844</v>
      </c>
      <c r="E26" s="17">
        <v>180484</v>
      </c>
      <c r="F26" s="17">
        <v>183803</v>
      </c>
      <c r="G26" s="18">
        <f>IF(AND(F65&lt;&gt;0,183803&lt;&gt;0),IF(100*183803/(F65-0)&lt;0.005,"*",100*183803/(F65-0)),0)</f>
        <v>1.3972909115235848</v>
      </c>
    </row>
    <row r="27" spans="1:7" x14ac:dyDescent="0.2">
      <c r="A27" s="11" t="s">
        <v>128</v>
      </c>
      <c r="B27" s="17">
        <v>195197</v>
      </c>
      <c r="C27" s="17">
        <v>12187</v>
      </c>
      <c r="D27" s="17">
        <v>194524</v>
      </c>
      <c r="E27" s="17">
        <v>206711</v>
      </c>
      <c r="F27" s="17">
        <v>210513</v>
      </c>
      <c r="G27" s="18">
        <f>IF(AND(F65&lt;&gt;0,210513&lt;&gt;0),IF(100*210513/(F65-0)&lt;0.005,"*",100*210513/(F65-0)),0)</f>
        <v>1.6003433113581629</v>
      </c>
    </row>
    <row r="28" spans="1:7" x14ac:dyDescent="0.2">
      <c r="A28" s="11" t="s">
        <v>129</v>
      </c>
      <c r="B28" s="17">
        <v>302154</v>
      </c>
      <c r="C28" s="17">
        <v>18864</v>
      </c>
      <c r="D28" s="17">
        <v>301113</v>
      </c>
      <c r="E28" s="17">
        <v>319977</v>
      </c>
      <c r="F28" s="17">
        <v>325862</v>
      </c>
      <c r="G28" s="18">
        <f>IF(AND(F65&lt;&gt;0,325862&lt;&gt;0),IF(100*325862/(F65-0)&lt;0.005,"*",100*325862/(F65-0)),0)</f>
        <v>2.4772392779818522</v>
      </c>
    </row>
    <row r="29" spans="1:7" x14ac:dyDescent="0.2">
      <c r="A29" s="11" t="s">
        <v>130</v>
      </c>
      <c r="B29" s="17">
        <v>169678</v>
      </c>
      <c r="C29" s="17">
        <v>10593</v>
      </c>
      <c r="D29" s="17">
        <v>169093</v>
      </c>
      <c r="E29" s="17">
        <v>179686</v>
      </c>
      <c r="F29" s="17">
        <v>182991</v>
      </c>
      <c r="G29" s="18">
        <f>IF(AND(F65&lt;&gt;0,182991&lt;&gt;0),IF(100*182991/(F65-0)&lt;0.005,"*",100*182991/(F65-0)),0)</f>
        <v>1.3911179969348286</v>
      </c>
    </row>
    <row r="30" spans="1:7" x14ac:dyDescent="0.2">
      <c r="A30" s="11" t="s">
        <v>131</v>
      </c>
      <c r="B30" s="17">
        <v>173633</v>
      </c>
      <c r="C30" s="17">
        <v>10840</v>
      </c>
      <c r="D30" s="17">
        <v>173035</v>
      </c>
      <c r="E30" s="17">
        <v>183875</v>
      </c>
      <c r="F30" s="17">
        <v>187257</v>
      </c>
      <c r="G30" s="18">
        <f>IF(AND(F65&lt;&gt;0,187257&lt;&gt;0),IF(100*187257/(F65-0)&lt;0.005,"*",100*187257/(F65-0)),0)</f>
        <v>1.423548604860486</v>
      </c>
    </row>
    <row r="31" spans="1:7" x14ac:dyDescent="0.2">
      <c r="A31" s="11" t="s">
        <v>132</v>
      </c>
      <c r="B31" s="17">
        <v>210388</v>
      </c>
      <c r="C31" s="17">
        <v>13135</v>
      </c>
      <c r="D31" s="17">
        <v>209663</v>
      </c>
      <c r="E31" s="17">
        <v>222798</v>
      </c>
      <c r="F31" s="17">
        <v>226896</v>
      </c>
      <c r="G31" s="18">
        <f>IF(AND(F65&lt;&gt;0,226896&lt;&gt;0),IF(100*226896/(F65-0)&lt;0.005,"*",100*226896/(F65-0)),0)</f>
        <v>1.724888705086725</v>
      </c>
    </row>
    <row r="32" spans="1:7" x14ac:dyDescent="0.2">
      <c r="A32" s="11" t="s">
        <v>133</v>
      </c>
      <c r="B32" s="17">
        <v>28106</v>
      </c>
      <c r="C32" s="17">
        <v>1755</v>
      </c>
      <c r="D32" s="17">
        <v>28009</v>
      </c>
      <c r="E32" s="17">
        <v>29764</v>
      </c>
      <c r="F32" s="17">
        <v>30311</v>
      </c>
      <c r="G32" s="18">
        <f>IF(AND(F65&lt;&gt;0,30311&lt;&gt;0),IF(100*30311/(F65-0)&lt;0.005,"*",100*30311/(F65-0)),0)</f>
        <v>0.23042760357116793</v>
      </c>
    </row>
    <row r="33" spans="1:7" x14ac:dyDescent="0.2">
      <c r="A33" s="11" t="s">
        <v>134</v>
      </c>
      <c r="B33" s="17">
        <v>74008</v>
      </c>
      <c r="C33" s="17">
        <v>4621</v>
      </c>
      <c r="D33" s="17">
        <v>73753</v>
      </c>
      <c r="E33" s="17">
        <v>78374</v>
      </c>
      <c r="F33" s="17">
        <v>79815</v>
      </c>
      <c r="G33" s="18">
        <f>IF(AND(F65&lt;&gt;0,79815&lt;&gt;0),IF(100*79815/(F65-0)&lt;0.005,"*",100*79815/(F65-0)),0)</f>
        <v>0.60676253436154426</v>
      </c>
    </row>
    <row r="34" spans="1:7" x14ac:dyDescent="0.2">
      <c r="A34" s="11" t="s">
        <v>135</v>
      </c>
      <c r="B34" s="17">
        <v>100843</v>
      </c>
      <c r="C34" s="17">
        <v>6296</v>
      </c>
      <c r="D34" s="17">
        <v>100495</v>
      </c>
      <c r="E34" s="17">
        <v>106791</v>
      </c>
      <c r="F34" s="17">
        <v>108755</v>
      </c>
      <c r="G34" s="18">
        <f>IF(AND(F65&lt;&gt;0,108755&lt;&gt;0),IF(100*108755/(F65-0)&lt;0.005,"*",100*108755/(F65-0)),0)</f>
        <v>0.82676764298051431</v>
      </c>
    </row>
    <row r="35" spans="1:7" x14ac:dyDescent="0.2">
      <c r="A35" s="11" t="s">
        <v>136</v>
      </c>
      <c r="B35" s="17">
        <v>22101</v>
      </c>
      <c r="C35" s="17">
        <v>1380</v>
      </c>
      <c r="D35" s="17">
        <v>22025</v>
      </c>
      <c r="E35" s="17">
        <v>23405</v>
      </c>
      <c r="F35" s="17">
        <v>23835</v>
      </c>
      <c r="G35" s="18">
        <f>IF(AND(F65&lt;&gt;0,23835&lt;&gt;0),IF(100*23835/(F65-0)&lt;0.005,"*",100*23835/(F65-0)),0)</f>
        <v>0.18119632909236869</v>
      </c>
    </row>
    <row r="36" spans="1:7" x14ac:dyDescent="0.2">
      <c r="A36" s="11" t="s">
        <v>137</v>
      </c>
      <c r="B36" s="17">
        <v>259669</v>
      </c>
      <c r="C36" s="17">
        <v>16212</v>
      </c>
      <c r="D36" s="17">
        <v>258774</v>
      </c>
      <c r="E36" s="17">
        <v>274986</v>
      </c>
      <c r="F36" s="17">
        <v>280043</v>
      </c>
      <c r="G36" s="18">
        <f>IF(AND(F65&lt;&gt;0,280043&lt;&gt;0),IF(100*280043/(F65-0)&lt;0.005,"*",100*280043/(F65-0)),0)</f>
        <v>2.1289181282993166</v>
      </c>
    </row>
    <row r="37" spans="1:7" x14ac:dyDescent="0.2">
      <c r="A37" s="11" t="s">
        <v>138</v>
      </c>
      <c r="B37" s="17">
        <v>101490</v>
      </c>
      <c r="C37" s="17">
        <v>6336</v>
      </c>
      <c r="D37" s="17">
        <v>101140</v>
      </c>
      <c r="E37" s="17">
        <v>107476</v>
      </c>
      <c r="F37" s="17">
        <v>109453</v>
      </c>
      <c r="G37" s="18">
        <f>IF(AND(F65&lt;&gt;0,109453&lt;&gt;0),IF(100*109453/(F65-0)&lt;0.005,"*",100*109453/(F65-0)),0)</f>
        <v>0.83207391685114462</v>
      </c>
    </row>
    <row r="38" spans="1:7" x14ac:dyDescent="0.2">
      <c r="A38" s="11" t="s">
        <v>139</v>
      </c>
      <c r="B38" s="17">
        <v>708843</v>
      </c>
      <c r="C38" s="17">
        <v>44255</v>
      </c>
      <c r="D38" s="17">
        <v>706400</v>
      </c>
      <c r="E38" s="17">
        <v>750655</v>
      </c>
      <c r="F38" s="17">
        <v>764460</v>
      </c>
      <c r="G38" s="18">
        <f>IF(AND(F65&lt;&gt;0,764460&lt;&gt;0),IF(100*764460/(F65-0)&lt;0.005,"*",100*764460/(F65-0)),0)</f>
        <v>5.811510205074562</v>
      </c>
    </row>
    <row r="39" spans="1:7" x14ac:dyDescent="0.2">
      <c r="A39" s="11" t="s">
        <v>140</v>
      </c>
      <c r="B39" s="17">
        <v>387631</v>
      </c>
      <c r="C39" s="17">
        <v>24201</v>
      </c>
      <c r="D39" s="17">
        <v>386295</v>
      </c>
      <c r="E39" s="17">
        <v>410496</v>
      </c>
      <c r="F39" s="17">
        <v>418045</v>
      </c>
      <c r="G39" s="18">
        <f>IF(AND(F65&lt;&gt;0,418045&lt;&gt;0),IF(100*418045/(F65-0)&lt;0.005,"*",100*418045/(F65-0)),0)</f>
        <v>3.1780247281484906</v>
      </c>
    </row>
    <row r="40" spans="1:7" x14ac:dyDescent="0.2">
      <c r="A40" s="11" t="s">
        <v>141</v>
      </c>
      <c r="B40" s="17">
        <v>21036</v>
      </c>
      <c r="C40" s="17">
        <v>1313</v>
      </c>
      <c r="D40" s="17">
        <v>20963</v>
      </c>
      <c r="E40" s="17">
        <v>22276</v>
      </c>
      <c r="F40" s="17">
        <v>22687</v>
      </c>
      <c r="G40" s="18">
        <f>IF(AND(F65&lt;&gt;0,22687&lt;&gt;0),IF(100*22687/(F65-0)&lt;0.005,"*",100*22687/(F65-0)),0)</f>
        <v>0.17246910501860996</v>
      </c>
    </row>
    <row r="41" spans="1:7" x14ac:dyDescent="0.2">
      <c r="A41" s="11" t="s">
        <v>142</v>
      </c>
      <c r="B41" s="17">
        <v>372934</v>
      </c>
      <c r="C41" s="17">
        <v>23283</v>
      </c>
      <c r="D41" s="17">
        <v>371649</v>
      </c>
      <c r="E41" s="17">
        <v>394932</v>
      </c>
      <c r="F41" s="17">
        <v>402195</v>
      </c>
      <c r="G41" s="18">
        <f>IF(AND(F65&lt;&gt;0,402195&lt;&gt;0),IF(100*402195/(F65-0)&lt;0.005,"*",100*402195/(F65-0)),0)</f>
        <v>3.0575312598827451</v>
      </c>
    </row>
    <row r="42" spans="1:7" x14ac:dyDescent="0.2">
      <c r="A42" s="11" t="s">
        <v>143</v>
      </c>
      <c r="B42" s="17">
        <v>169155</v>
      </c>
      <c r="C42" s="17">
        <v>10561</v>
      </c>
      <c r="D42" s="17">
        <v>168572</v>
      </c>
      <c r="E42" s="17">
        <v>179133</v>
      </c>
      <c r="F42" s="17">
        <v>182427</v>
      </c>
      <c r="G42" s="18">
        <f>IF(AND(F65&lt;&gt;0,182427&lt;&gt;0),IF(100*182427/(F65-0)&lt;0.005,"*",100*182427/(F65-0)),0)</f>
        <v>1.3868304060135743</v>
      </c>
    </row>
    <row r="43" spans="1:7" x14ac:dyDescent="0.2">
      <c r="A43" s="11" t="s">
        <v>144</v>
      </c>
      <c r="B43" s="17">
        <v>114981</v>
      </c>
      <c r="C43" s="17">
        <v>7179</v>
      </c>
      <c r="D43" s="17">
        <v>114585</v>
      </c>
      <c r="E43" s="17">
        <v>121764</v>
      </c>
      <c r="F43" s="17">
        <v>124003</v>
      </c>
      <c r="G43" s="18">
        <f>IF(AND(F65&lt;&gt;0,124003&lt;&gt;0),IF(100*124003/(F65-0)&lt;0.005,"*",100*124003/(F65-0)),0)</f>
        <v>0.94268464008563013</v>
      </c>
    </row>
    <row r="44" spans="1:7" x14ac:dyDescent="0.2">
      <c r="A44" s="11" t="s">
        <v>145</v>
      </c>
      <c r="B44" s="17">
        <v>386089</v>
      </c>
      <c r="C44" s="17">
        <v>24105</v>
      </c>
      <c r="D44" s="17">
        <v>384758</v>
      </c>
      <c r="E44" s="17">
        <v>408863</v>
      </c>
      <c r="F44" s="17">
        <v>416382</v>
      </c>
      <c r="G44" s="18">
        <f>IF(AND(F65&lt;&gt;0,416382&lt;&gt;0),IF(100*416382/(F65-0)&lt;0.005,"*",100*416382/(F65-0)),0)</f>
        <v>3.1653824166200404</v>
      </c>
    </row>
    <row r="45" spans="1:7" x14ac:dyDescent="0.2">
      <c r="A45" s="11" t="s">
        <v>146</v>
      </c>
      <c r="B45" s="17">
        <v>31243</v>
      </c>
      <c r="C45" s="17">
        <v>1951</v>
      </c>
      <c r="D45" s="17">
        <v>31135</v>
      </c>
      <c r="E45" s="17">
        <v>33086</v>
      </c>
      <c r="F45" s="17">
        <v>33694</v>
      </c>
      <c r="G45" s="18">
        <f>IF(AND(F65&lt;&gt;0,33694&lt;&gt;0),IF(100*33694/(F65-0)&lt;0.005,"*",100*33694/(F65-0)),0)</f>
        <v>0.25614554698713116</v>
      </c>
    </row>
    <row r="46" spans="1:7" x14ac:dyDescent="0.2">
      <c r="A46" s="11" t="s">
        <v>147</v>
      </c>
      <c r="B46" s="17">
        <v>204310</v>
      </c>
      <c r="C46" s="17">
        <v>12756</v>
      </c>
      <c r="D46" s="17">
        <v>203606</v>
      </c>
      <c r="E46" s="17">
        <v>216362</v>
      </c>
      <c r="F46" s="17">
        <v>220341</v>
      </c>
      <c r="G46" s="18">
        <f>IF(AND(F65&lt;&gt;0,220341&lt;&gt;0),IF(100*220341/(F65-0)&lt;0.005,"*",100*220341/(F65-0)),0)</f>
        <v>1.6750568637944876</v>
      </c>
    </row>
    <row r="47" spans="1:7" x14ac:dyDescent="0.2">
      <c r="A47" s="11" t="s">
        <v>148</v>
      </c>
      <c r="B47" s="17">
        <v>28823</v>
      </c>
      <c r="C47" s="17">
        <v>1799</v>
      </c>
      <c r="D47" s="17">
        <v>28724</v>
      </c>
      <c r="E47" s="17">
        <v>30523</v>
      </c>
      <c r="F47" s="17">
        <v>31085</v>
      </c>
      <c r="G47" s="18">
        <f>IF(AND(F65&lt;&gt;0,31085&lt;&gt;0),IF(100*31085/(F65-0)&lt;0.005,"*",100*31085/(F65-0)),0)</f>
        <v>0.23631163792054882</v>
      </c>
    </row>
    <row r="48" spans="1:7" x14ac:dyDescent="0.2">
      <c r="A48" s="11" t="s">
        <v>149</v>
      </c>
      <c r="B48" s="17">
        <v>286130</v>
      </c>
      <c r="C48" s="17">
        <v>17864</v>
      </c>
      <c r="D48" s="17">
        <v>285144</v>
      </c>
      <c r="E48" s="17">
        <v>303008</v>
      </c>
      <c r="F48" s="17">
        <v>308580</v>
      </c>
      <c r="G48" s="18">
        <f>IF(AND(F65&lt;&gt;0,308580&lt;&gt;0),IF(100*308580/(F65-0)&lt;0.005,"*",100*308580/(F65-0)),0)</f>
        <v>2.3458595859585958</v>
      </c>
    </row>
    <row r="49" spans="1:7" x14ac:dyDescent="0.2">
      <c r="A49" s="11" t="s">
        <v>150</v>
      </c>
      <c r="B49" s="17">
        <v>1436549</v>
      </c>
      <c r="C49" s="17">
        <v>89688</v>
      </c>
      <c r="D49" s="17">
        <v>1431597</v>
      </c>
      <c r="E49" s="17">
        <v>1521285</v>
      </c>
      <c r="F49" s="17">
        <v>1549264</v>
      </c>
      <c r="G49" s="18">
        <f>IF(AND(F65&lt;&gt;0,1549264&lt;&gt;0),IF(100*1549264/(F65-0)&lt;0.005,"*",100*1549264/(F65-0)),0)</f>
        <v>11.777677767776778</v>
      </c>
    </row>
    <row r="50" spans="1:7" x14ac:dyDescent="0.2">
      <c r="A50" s="11" t="s">
        <v>151</v>
      </c>
      <c r="B50" s="17">
        <v>100773</v>
      </c>
      <c r="C50" s="17">
        <v>6292</v>
      </c>
      <c r="D50" s="17">
        <v>100426</v>
      </c>
      <c r="E50" s="17">
        <v>106718</v>
      </c>
      <c r="F50" s="17">
        <v>108680</v>
      </c>
      <c r="G50" s="18">
        <f>IF(AND(F65&lt;&gt;0,108680&lt;&gt;0),IF(100*108680/(F65-0)&lt;0.005,"*",100*108680/(F65-0)),0)</f>
        <v>0.82619748461332621</v>
      </c>
    </row>
    <row r="51" spans="1:7" x14ac:dyDescent="0.2">
      <c r="A51" s="11" t="s">
        <v>152</v>
      </c>
      <c r="B51" s="17">
        <v>15716</v>
      </c>
      <c r="C51" s="17">
        <v>981</v>
      </c>
      <c r="D51" s="17">
        <v>15662</v>
      </c>
      <c r="E51" s="17">
        <v>16643</v>
      </c>
      <c r="F51" s="17">
        <v>16949</v>
      </c>
      <c r="G51" s="18">
        <f>IF(AND(F65&lt;&gt;0,16949&lt;&gt;0),IF(100*16949/(F65-0)&lt;0.005,"*",100*16949/(F65-0)),0)</f>
        <v>0.12884818887294136</v>
      </c>
    </row>
    <row r="52" spans="1:7" x14ac:dyDescent="0.2">
      <c r="A52" s="11" t="s">
        <v>153</v>
      </c>
      <c r="B52" s="17">
        <v>248637</v>
      </c>
      <c r="C52" s="17">
        <v>15523</v>
      </c>
      <c r="D52" s="17">
        <v>247780</v>
      </c>
      <c r="E52" s="17">
        <v>263303</v>
      </c>
      <c r="F52" s="17">
        <v>268146</v>
      </c>
      <c r="G52" s="18">
        <f>IF(AND(F65&lt;&gt;0,268146&lt;&gt;0),IF(100*268146/(F65-0)&lt;0.005,"*",100*268146/(F65-0)),0)</f>
        <v>2.0384758070401636</v>
      </c>
    </row>
    <row r="53" spans="1:7" x14ac:dyDescent="0.2">
      <c r="A53" s="11" t="s">
        <v>154</v>
      </c>
      <c r="B53" s="17">
        <v>199848</v>
      </c>
      <c r="C53" s="17">
        <v>12477</v>
      </c>
      <c r="D53" s="17">
        <v>199159</v>
      </c>
      <c r="E53" s="17">
        <v>211636</v>
      </c>
      <c r="F53" s="17">
        <v>215529</v>
      </c>
      <c r="G53" s="18">
        <f>IF(AND(F65&lt;&gt;0,215529&lt;&gt;0),IF(100*215529/(F65-0)&lt;0.005,"*",100*215529/(F65-0)),0)</f>
        <v>1.638475502955701</v>
      </c>
    </row>
    <row r="54" spans="1:7" x14ac:dyDescent="0.2">
      <c r="A54" s="11" t="s">
        <v>155</v>
      </c>
      <c r="B54" s="17">
        <v>80382</v>
      </c>
      <c r="C54" s="17">
        <v>5018</v>
      </c>
      <c r="D54" s="17">
        <v>80105</v>
      </c>
      <c r="E54" s="17">
        <v>85123</v>
      </c>
      <c r="F54" s="17">
        <v>86689</v>
      </c>
      <c r="G54" s="18">
        <f>IF(AND(F65&lt;&gt;0,86689&lt;&gt;0),IF(100*86689/(F65-0)&lt;0.005,"*",100*86689/(F65-0)),0)</f>
        <v>0.65901944924222156</v>
      </c>
    </row>
    <row r="55" spans="1:7" x14ac:dyDescent="0.2">
      <c r="A55" s="11" t="s">
        <v>156</v>
      </c>
      <c r="B55" s="17">
        <v>169244</v>
      </c>
      <c r="C55" s="17">
        <v>10566</v>
      </c>
      <c r="D55" s="17">
        <v>168661</v>
      </c>
      <c r="E55" s="17">
        <v>179227</v>
      </c>
      <c r="F55" s="17">
        <v>182523</v>
      </c>
      <c r="G55" s="18">
        <f>IF(AND(F65&lt;&gt;0,182523&lt;&gt;0),IF(100*182523/(F65-0)&lt;0.005,"*",100*182523/(F65-0)),0)</f>
        <v>1.387560208723575</v>
      </c>
    </row>
    <row r="56" spans="1:7" x14ac:dyDescent="0.2">
      <c r="A56" s="11" t="s">
        <v>157</v>
      </c>
      <c r="B56" s="17">
        <v>15076</v>
      </c>
      <c r="C56" s="17">
        <v>941</v>
      </c>
      <c r="D56" s="17">
        <v>15024</v>
      </c>
      <c r="E56" s="17">
        <v>15965</v>
      </c>
      <c r="F56" s="17">
        <v>16259</v>
      </c>
      <c r="G56" s="18">
        <f>IF(AND(F65&lt;&gt;0,16259&lt;&gt;0),IF(100*16259/(F65-0)&lt;0.005,"*",100*16259/(F65-0)),0)</f>
        <v>0.12360273189481111</v>
      </c>
    </row>
    <row r="57" spans="1:7" x14ac:dyDescent="0.2">
      <c r="A57" s="11" t="s">
        <v>158</v>
      </c>
      <c r="B57" s="17">
        <v>0</v>
      </c>
      <c r="C57" s="17">
        <v>0</v>
      </c>
      <c r="D57" s="17">
        <v>0</v>
      </c>
      <c r="E57" s="17">
        <v>0</v>
      </c>
      <c r="F57" s="17">
        <v>0</v>
      </c>
      <c r="G57" s="18">
        <f>IF(AND(F65&lt;&gt;0,0&lt;&gt;0),IF(100*0/(F65-0)&lt;0.005,"*",100*0/(F65-0)),0)</f>
        <v>0</v>
      </c>
    </row>
    <row r="58" spans="1:7" x14ac:dyDescent="0.2">
      <c r="A58" s="11" t="s">
        <v>159</v>
      </c>
      <c r="B58" s="17">
        <v>8406</v>
      </c>
      <c r="C58" s="17">
        <v>525</v>
      </c>
      <c r="D58" s="17">
        <v>8377</v>
      </c>
      <c r="E58" s="17">
        <v>8902</v>
      </c>
      <c r="F58" s="17">
        <v>9066</v>
      </c>
      <c r="G58" s="18">
        <f>IF(AND(F65&lt;&gt;0,9066&lt;&gt;0),IF(100*9066/(F65-0)&lt;0.005,"*",100*9066/(F65-0)),0)</f>
        <v>6.8920743425693917E-2</v>
      </c>
    </row>
    <row r="59" spans="1:7" x14ac:dyDescent="0.2">
      <c r="A59" s="11" t="s">
        <v>160</v>
      </c>
      <c r="B59" s="17">
        <v>0</v>
      </c>
      <c r="C59" s="17">
        <v>0</v>
      </c>
      <c r="D59" s="17">
        <v>0</v>
      </c>
      <c r="E59" s="17">
        <v>0</v>
      </c>
      <c r="F59" s="17">
        <v>0</v>
      </c>
      <c r="G59" s="18">
        <f>IF(AND(F65&lt;&gt;0,0&lt;&gt;0),IF(100*0/(F65-0)&lt;0.005,"*",100*0/(F65-0)),0)</f>
        <v>0</v>
      </c>
    </row>
    <row r="60" spans="1:7" x14ac:dyDescent="0.2">
      <c r="A60" s="11" t="s">
        <v>161</v>
      </c>
      <c r="B60" s="17">
        <v>105944</v>
      </c>
      <c r="C60" s="17">
        <v>6614</v>
      </c>
      <c r="D60" s="17">
        <v>105579</v>
      </c>
      <c r="E60" s="17">
        <v>112193</v>
      </c>
      <c r="F60" s="17">
        <v>114257</v>
      </c>
      <c r="G60" s="18">
        <f>IF(AND(F65&lt;&gt;0,114257&lt;&gt;0),IF(100*114257/(F65-0)&lt;0.005,"*",100*114257/(F65-0)),0)</f>
        <v>0.86859446079743108</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4591</v>
      </c>
      <c r="C62" s="17">
        <v>287</v>
      </c>
      <c r="D62" s="17">
        <v>4575</v>
      </c>
      <c r="E62" s="17">
        <v>4862</v>
      </c>
      <c r="F62" s="17">
        <v>4951</v>
      </c>
      <c r="G62" s="18">
        <f>IF(AND(F65&lt;&gt;0,4951&lt;&gt;0),IF(100*4951/(F65-0)&lt;0.005,"*",100*4951/(F65-0)),0)</f>
        <v>3.7638054345975135E-2</v>
      </c>
    </row>
    <row r="63" spans="1:7" x14ac:dyDescent="0.2">
      <c r="A63" s="11" t="s">
        <v>164</v>
      </c>
      <c r="B63" s="17">
        <v>0</v>
      </c>
      <c r="C63" s="17">
        <v>0</v>
      </c>
      <c r="D63" s="17">
        <v>0</v>
      </c>
      <c r="E63" s="17">
        <v>0</v>
      </c>
      <c r="F63" s="17">
        <v>0</v>
      </c>
      <c r="G63" s="18">
        <f>IF(AND(F65&lt;&gt;0,0&lt;&gt;0),IF(100*0/(F65-0)&lt;0.005,"*",100*0/(F65-0)),0)</f>
        <v>0</v>
      </c>
    </row>
    <row r="64" spans="1:7" x14ac:dyDescent="0.2">
      <c r="A64" s="11" t="s">
        <v>165</v>
      </c>
      <c r="B64" s="17">
        <v>105305</v>
      </c>
      <c r="C64" s="17">
        <v>0</v>
      </c>
      <c r="D64" s="17">
        <v>0</v>
      </c>
      <c r="E64" s="17">
        <v>0</v>
      </c>
      <c r="F64" s="17">
        <v>0</v>
      </c>
      <c r="G64" s="18">
        <v>0</v>
      </c>
    </row>
    <row r="65" spans="1:7" ht="15" customHeight="1" x14ac:dyDescent="0.2">
      <c r="A65" s="19" t="s">
        <v>106</v>
      </c>
      <c r="B65" s="20">
        <f>212288+37764+280631+135798+1491133+133459+101996+36932+28339+770725+520709+44355+51431+460372+259469+112839+107307+227724+245747+34159+170431+195197+302154+169678+173633+210388+28106+74008+100843+22101+259669+101490+708843+387631+21036+372934+169155+114981+386089+31243+204310+28823+286130+1436549+100773+15716+248637+199848+80382+169244+15076+0+8406+0+105944+0+4591+0+105305+0</f>
        <v>12302521</v>
      </c>
      <c r="C65" s="20">
        <f>13254+2358+17521+8478+93096+8332+6368+2306+1769+48118+32509+2769+3211+28742+16199+7045+6699+14217+15343+2133+10640+12187+18864+10593+10840+13135+1755+4621+6296+1380+16212+6336+44255+24201+1313+23283+10561+7179+24105+1951+12756+1799+17864+89688+6292+981+15523+12477+5018+10566+941+0+525+0+6614+0+287+0+0+0</f>
        <v>761505</v>
      </c>
      <c r="D65" s="20">
        <f>211556+37634+279664+135330+1485993+132999+101644+36805+28241+768068+518914+44202+51254+458785+258575+112450+106937+226939+244900+34041+169844+194524+301113+169093+173035+209663+28009+73753+100495+22025+258774+101140+706400+386295+20963+371649+168572+114585+384758+31135+203606+28724+285144+1431597+100426+15662+247780+199159+80105+168661+15024+0+8377+0+105579+0+4575+0+0+0</f>
        <v>12155175</v>
      </c>
      <c r="E65" s="20">
        <f>SUM(C65:D65)</f>
        <v>12916680</v>
      </c>
      <c r="F65" s="20">
        <f>228945+40727+302650+146453+1608131+143930+109999+39830+30563+831198+561565+47835+55466+496494+279828+121693+115727+245592+265029+36839+183803+210513+325862+182991+187257+226896+30311+79815+108755+23835+280043+109453+764460+418045+22687+402195+182427+124003+416382+33694+220341+31085+308580+1549264+108680+16949+268146+215529+86689+182523+16259+0+9066+0+114257+0+4951+0+0+0</f>
        <v>13154240</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95</v>
      </c>
      <c r="B1" s="10"/>
      <c r="C1" s="10"/>
      <c r="D1" s="10"/>
      <c r="E1" s="10"/>
      <c r="F1" s="10"/>
      <c r="G1" s="12" t="s">
        <v>170</v>
      </c>
    </row>
    <row r="2" spans="1:7" x14ac:dyDescent="0.2">
      <c r="A2" s="13" t="s">
        <v>171</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110340</v>
      </c>
      <c r="C6" s="17">
        <v>19695</v>
      </c>
      <c r="D6" s="17">
        <v>89979</v>
      </c>
      <c r="E6" s="17">
        <v>109674</v>
      </c>
      <c r="F6" s="17">
        <v>101409</v>
      </c>
      <c r="G6" s="18">
        <f>IF(AND(F65&lt;&gt;0,101409&lt;&gt;0),IF(100*101409/(F65-0)&lt;0.005,"*",100*101409/(F65-0)),0)</f>
        <v>1.6561979421852033</v>
      </c>
    </row>
    <row r="7" spans="1:7" x14ac:dyDescent="0.2">
      <c r="A7" s="11" t="s">
        <v>108</v>
      </c>
      <c r="B7" s="17">
        <v>23540</v>
      </c>
      <c r="C7" s="17">
        <v>4202</v>
      </c>
      <c r="D7" s="17">
        <v>19196</v>
      </c>
      <c r="E7" s="17">
        <v>23398</v>
      </c>
      <c r="F7" s="17">
        <v>21635</v>
      </c>
      <c r="G7" s="18">
        <f>IF(AND(F65&lt;&gt;0,21635&lt;&gt;0),IF(100*21635/(F65-0)&lt;0.005,"*",100*21635/(F65-0)),0)</f>
        <v>0.35333986607871959</v>
      </c>
    </row>
    <row r="8" spans="1:7" x14ac:dyDescent="0.2">
      <c r="A8" s="11" t="s">
        <v>109</v>
      </c>
      <c r="B8" s="17">
        <v>130542</v>
      </c>
      <c r="C8" s="17">
        <v>23301</v>
      </c>
      <c r="D8" s="17">
        <v>106453</v>
      </c>
      <c r="E8" s="17">
        <v>129754</v>
      </c>
      <c r="F8" s="17">
        <v>119976</v>
      </c>
      <c r="G8" s="18">
        <f>IF(AND(F65&lt;&gt;0,119976&lt;&gt;0),IF(100*119976/(F65-0)&lt;0.005,"*",100*119976/(F65-0)),0)</f>
        <v>1.9594316511513963</v>
      </c>
    </row>
    <row r="9" spans="1:7" x14ac:dyDescent="0.2">
      <c r="A9" s="11" t="s">
        <v>110</v>
      </c>
      <c r="B9" s="17">
        <v>69987</v>
      </c>
      <c r="C9" s="17">
        <v>12492</v>
      </c>
      <c r="D9" s="17">
        <v>57072</v>
      </c>
      <c r="E9" s="17">
        <v>69564</v>
      </c>
      <c r="F9" s="17">
        <v>64322</v>
      </c>
      <c r="G9" s="18">
        <f>IF(AND(F65&lt;&gt;0,64322&lt;&gt;0),IF(100*64322/(F65-0)&lt;0.005,"*",100*64322/(F65-0)),0)</f>
        <v>1.0504981218357015</v>
      </c>
    </row>
    <row r="10" spans="1:7" x14ac:dyDescent="0.2">
      <c r="A10" s="11" t="s">
        <v>111</v>
      </c>
      <c r="B10" s="17">
        <v>1123256</v>
      </c>
      <c r="C10" s="17">
        <v>200493</v>
      </c>
      <c r="D10" s="17">
        <v>915980</v>
      </c>
      <c r="E10" s="17">
        <v>1116473</v>
      </c>
      <c r="F10" s="17">
        <v>1032342</v>
      </c>
      <c r="G10" s="18">
        <f>IF(AND(F65&lt;&gt;0,1032342&lt;&gt;0),IF(100*1032342/(F65-0)&lt;0.005,"*",100*1032342/(F65-0)),0)</f>
        <v>16.860068593826554</v>
      </c>
    </row>
    <row r="11" spans="1:7" x14ac:dyDescent="0.2">
      <c r="A11" s="11" t="s">
        <v>112</v>
      </c>
      <c r="B11" s="17">
        <v>67957</v>
      </c>
      <c r="C11" s="17">
        <v>12130</v>
      </c>
      <c r="D11" s="17">
        <v>55417</v>
      </c>
      <c r="E11" s="17">
        <v>67547</v>
      </c>
      <c r="F11" s="17">
        <v>62457</v>
      </c>
      <c r="G11" s="18">
        <f>IF(AND(F65&lt;&gt;0,62457&lt;&gt;0),IF(100*62457/(F65-0)&lt;0.005,"*",100*62457/(F65-0)),0)</f>
        <v>1.0200391964723174</v>
      </c>
    </row>
    <row r="12" spans="1:7" x14ac:dyDescent="0.2">
      <c r="A12" s="11" t="s">
        <v>113</v>
      </c>
      <c r="B12" s="17">
        <v>42284</v>
      </c>
      <c r="C12" s="17">
        <v>7547</v>
      </c>
      <c r="D12" s="17">
        <v>34481</v>
      </c>
      <c r="E12" s="17">
        <v>42028</v>
      </c>
      <c r="F12" s="17">
        <v>38862</v>
      </c>
      <c r="G12" s="18">
        <f>IF(AND(F65&lt;&gt;0,38862&lt;&gt;0),IF(100*38862/(F65-0)&lt;0.005,"*",100*38862/(F65-0)),0)</f>
        <v>0.63468887800097995</v>
      </c>
    </row>
    <row r="13" spans="1:7" x14ac:dyDescent="0.2">
      <c r="A13" s="11" t="s">
        <v>114</v>
      </c>
      <c r="B13" s="17">
        <v>15814</v>
      </c>
      <c r="C13" s="17">
        <v>2823</v>
      </c>
      <c r="D13" s="17">
        <v>12896</v>
      </c>
      <c r="E13" s="17">
        <v>15719</v>
      </c>
      <c r="F13" s="17">
        <v>14534</v>
      </c>
      <c r="G13" s="18">
        <f>IF(AND(F65&lt;&gt;0,14534&lt;&gt;0),IF(100*14534/(F65-0)&lt;0.005,"*",100*14534/(F65-0)),0)</f>
        <v>0.23736730360934183</v>
      </c>
    </row>
    <row r="14" spans="1:7" x14ac:dyDescent="0.2">
      <c r="A14" s="11" t="s">
        <v>115</v>
      </c>
      <c r="B14" s="17">
        <v>14135</v>
      </c>
      <c r="C14" s="17">
        <v>2523</v>
      </c>
      <c r="D14" s="17">
        <v>11527</v>
      </c>
      <c r="E14" s="17">
        <v>14050</v>
      </c>
      <c r="F14" s="17">
        <v>12991</v>
      </c>
      <c r="G14" s="18">
        <f>IF(AND(F65&lt;&gt;0,12991&lt;&gt;0),IF(100*12991/(F65-0)&lt;0.005,"*",100*12991/(F65-0)),0)</f>
        <v>0.21216723828188797</v>
      </c>
    </row>
    <row r="15" spans="1:7" x14ac:dyDescent="0.2">
      <c r="A15" s="11" t="s">
        <v>116</v>
      </c>
      <c r="B15" s="17">
        <v>367569</v>
      </c>
      <c r="C15" s="17">
        <v>65608</v>
      </c>
      <c r="D15" s="17">
        <v>299741</v>
      </c>
      <c r="E15" s="17">
        <v>365349</v>
      </c>
      <c r="F15" s="17">
        <v>337819</v>
      </c>
      <c r="G15" s="18">
        <f>IF(AND(F65&lt;&gt;0,337819&lt;&gt;0),IF(100*337819/(F65-0)&lt;0.005,"*",100*337819/(F65-0)),0)</f>
        <v>5.5172137840927649</v>
      </c>
    </row>
    <row r="16" spans="1:7" x14ac:dyDescent="0.2">
      <c r="A16" s="11" t="s">
        <v>117</v>
      </c>
      <c r="B16" s="17">
        <v>217098</v>
      </c>
      <c r="C16" s="17">
        <v>38750</v>
      </c>
      <c r="D16" s="17">
        <v>177037</v>
      </c>
      <c r="E16" s="17">
        <v>215787</v>
      </c>
      <c r="F16" s="17">
        <v>199527</v>
      </c>
      <c r="G16" s="18">
        <f>IF(AND(F65&lt;&gt;0,199527&lt;&gt;0),IF(100*199527/(F65-0)&lt;0.005,"*",100*199527/(F65-0)),0)</f>
        <v>3.2586477217050467</v>
      </c>
    </row>
    <row r="17" spans="1:7" x14ac:dyDescent="0.2">
      <c r="A17" s="11" t="s">
        <v>118</v>
      </c>
      <c r="B17" s="17">
        <v>30056</v>
      </c>
      <c r="C17" s="17">
        <v>5365</v>
      </c>
      <c r="D17" s="17">
        <v>24510</v>
      </c>
      <c r="E17" s="17">
        <v>29875</v>
      </c>
      <c r="F17" s="17">
        <v>27623</v>
      </c>
      <c r="G17" s="18">
        <f>IF(AND(F65&lt;&gt;0,27623&lt;&gt;0),IF(100*27623/(F65-0)&lt;0.005,"*",100*27623/(F65-0)),0)</f>
        <v>0.45113506451086066</v>
      </c>
    </row>
    <row r="18" spans="1:7" x14ac:dyDescent="0.2">
      <c r="A18" s="11" t="s">
        <v>119</v>
      </c>
      <c r="B18" s="17">
        <v>30067</v>
      </c>
      <c r="C18" s="17">
        <v>5367</v>
      </c>
      <c r="D18" s="17">
        <v>24519</v>
      </c>
      <c r="E18" s="17">
        <v>29886</v>
      </c>
      <c r="F18" s="17">
        <v>27633</v>
      </c>
      <c r="G18" s="18">
        <f>IF(AND(F65&lt;&gt;0,27633&lt;&gt;0),IF(100*27633/(F65-0)&lt;0.005,"*",100*27633/(F65-0)),0)</f>
        <v>0.4512983831455169</v>
      </c>
    </row>
    <row r="19" spans="1:7" x14ac:dyDescent="0.2">
      <c r="A19" s="11" t="s">
        <v>120</v>
      </c>
      <c r="B19" s="17">
        <v>226365</v>
      </c>
      <c r="C19" s="17">
        <v>40404</v>
      </c>
      <c r="D19" s="17">
        <v>184593</v>
      </c>
      <c r="E19" s="17">
        <v>224997</v>
      </c>
      <c r="F19" s="17">
        <v>208044</v>
      </c>
      <c r="G19" s="18">
        <f>IF(AND(F65&lt;&gt;0,208044&lt;&gt;0),IF(100*208044/(F65-0)&lt;0.005,"*",100*208044/(F65-0)),0)</f>
        <v>3.3977462028417444</v>
      </c>
    </row>
    <row r="20" spans="1:7" x14ac:dyDescent="0.2">
      <c r="A20" s="11" t="s">
        <v>121</v>
      </c>
      <c r="B20" s="17">
        <v>111948</v>
      </c>
      <c r="C20" s="17">
        <v>19982</v>
      </c>
      <c r="D20" s="17">
        <v>91290</v>
      </c>
      <c r="E20" s="17">
        <v>111272</v>
      </c>
      <c r="F20" s="17">
        <v>102887</v>
      </c>
      <c r="G20" s="18">
        <f>IF(AND(F65&lt;&gt;0,102887&lt;&gt;0),IF(100*102887/(F65-0)&lt;0.005,"*",100*102887/(F65-0)),0)</f>
        <v>1.6803364363873918</v>
      </c>
    </row>
    <row r="21" spans="1:7" x14ac:dyDescent="0.2">
      <c r="A21" s="11" t="s">
        <v>122</v>
      </c>
      <c r="B21" s="17">
        <v>45051</v>
      </c>
      <c r="C21" s="17">
        <v>8041</v>
      </c>
      <c r="D21" s="17">
        <v>36738</v>
      </c>
      <c r="E21" s="17">
        <v>44779</v>
      </c>
      <c r="F21" s="17">
        <v>41405</v>
      </c>
      <c r="G21" s="18">
        <f>IF(AND(F65&lt;&gt;0,41405&lt;&gt;0),IF(100*41405/(F65-0)&lt;0.005,"*",100*41405/(F65-0)),0)</f>
        <v>0.67622080679405516</v>
      </c>
    </row>
    <row r="22" spans="1:7" x14ac:dyDescent="0.2">
      <c r="A22" s="11" t="s">
        <v>123</v>
      </c>
      <c r="B22" s="17">
        <v>41363</v>
      </c>
      <c r="C22" s="17">
        <v>7383</v>
      </c>
      <c r="D22" s="17">
        <v>33730</v>
      </c>
      <c r="E22" s="17">
        <v>41113</v>
      </c>
      <c r="F22" s="17">
        <v>38015</v>
      </c>
      <c r="G22" s="18">
        <f>IF(AND(F65&lt;&gt;0,38015&lt;&gt;0),IF(100*38015/(F65-0)&lt;0.005,"*",100*38015/(F65-0)),0)</f>
        <v>0.62085578964559851</v>
      </c>
    </row>
    <row r="23" spans="1:7" x14ac:dyDescent="0.2">
      <c r="A23" s="11" t="s">
        <v>124</v>
      </c>
      <c r="B23" s="17">
        <v>97835</v>
      </c>
      <c r="C23" s="17">
        <v>17463</v>
      </c>
      <c r="D23" s="17">
        <v>79781</v>
      </c>
      <c r="E23" s="17">
        <v>97244</v>
      </c>
      <c r="F23" s="17">
        <v>89916</v>
      </c>
      <c r="G23" s="18">
        <f>IF(AND(F65&lt;&gt;0,89916&lt;&gt;0),IF(100*89916/(F65-0)&lt;0.005,"*",100*89916/(F65-0)),0)</f>
        <v>1.4684958353748163</v>
      </c>
    </row>
    <row r="24" spans="1:7" x14ac:dyDescent="0.2">
      <c r="A24" s="11" t="s">
        <v>125</v>
      </c>
      <c r="B24" s="17">
        <v>121829</v>
      </c>
      <c r="C24" s="17">
        <v>21746</v>
      </c>
      <c r="D24" s="17">
        <v>99348</v>
      </c>
      <c r="E24" s="17">
        <v>121094</v>
      </c>
      <c r="F24" s="17">
        <v>111968</v>
      </c>
      <c r="G24" s="18">
        <f>IF(AND(F65&lt;&gt;0,111968&lt;&gt;0),IF(100*111968/(F65-0)&lt;0.005,"*",100*111968/(F65-0)),0)</f>
        <v>1.8286460885186999</v>
      </c>
    </row>
    <row r="25" spans="1:7" x14ac:dyDescent="0.2">
      <c r="A25" s="11" t="s">
        <v>126</v>
      </c>
      <c r="B25" s="17">
        <v>18392</v>
      </c>
      <c r="C25" s="17">
        <v>3283</v>
      </c>
      <c r="D25" s="17">
        <v>14998</v>
      </c>
      <c r="E25" s="17">
        <v>18281</v>
      </c>
      <c r="F25" s="17">
        <v>16903</v>
      </c>
      <c r="G25" s="18">
        <f>IF(AND(F65&lt;&gt;0,16903&lt;&gt;0),IF(100*16903/(F65-0)&lt;0.005,"*",100*16903/(F65-0)),0)</f>
        <v>0.27605748815939901</v>
      </c>
    </row>
    <row r="26" spans="1:7" x14ac:dyDescent="0.2">
      <c r="A26" s="11" t="s">
        <v>127</v>
      </c>
      <c r="B26" s="17">
        <v>118171</v>
      </c>
      <c r="C26" s="17">
        <v>21093</v>
      </c>
      <c r="D26" s="17">
        <v>96365</v>
      </c>
      <c r="E26" s="17">
        <v>117458</v>
      </c>
      <c r="F26" s="17">
        <v>108606</v>
      </c>
      <c r="G26" s="18">
        <f>IF(AND(F65&lt;&gt;0,108606&lt;&gt;0),IF(100*108606/(F65-0)&lt;0.005,"*",100*108606/(F65-0)),0)</f>
        <v>1.7737383635472808</v>
      </c>
    </row>
    <row r="27" spans="1:7" x14ac:dyDescent="0.2">
      <c r="A27" s="11" t="s">
        <v>128</v>
      </c>
      <c r="B27" s="17">
        <v>82899</v>
      </c>
      <c r="C27" s="17">
        <v>14797</v>
      </c>
      <c r="D27" s="17">
        <v>67601</v>
      </c>
      <c r="E27" s="17">
        <v>82398</v>
      </c>
      <c r="F27" s="17">
        <v>76189</v>
      </c>
      <c r="G27" s="18">
        <f>IF(AND(F65&lt;&gt;0,76189&lt;&gt;0),IF(100*76189/(F65-0)&lt;0.005,"*",100*76189/(F65-0)),0)</f>
        <v>1.244308345582231</v>
      </c>
    </row>
    <row r="28" spans="1:7" x14ac:dyDescent="0.2">
      <c r="A28" s="11" t="s">
        <v>129</v>
      </c>
      <c r="B28" s="17">
        <v>193840</v>
      </c>
      <c r="C28" s="17">
        <v>34599</v>
      </c>
      <c r="D28" s="17">
        <v>158070</v>
      </c>
      <c r="E28" s="17">
        <v>192669</v>
      </c>
      <c r="F28" s="17">
        <v>178151</v>
      </c>
      <c r="G28" s="18">
        <f>IF(AND(F65&lt;&gt;0,178151&lt;&gt;0),IF(100*178151/(F65-0)&lt;0.005,"*",100*178151/(F65-0)),0)</f>
        <v>2.9095378082639227</v>
      </c>
    </row>
    <row r="29" spans="1:7" x14ac:dyDescent="0.2">
      <c r="A29" s="11" t="s">
        <v>130</v>
      </c>
      <c r="B29" s="17">
        <v>98825</v>
      </c>
      <c r="C29" s="17">
        <v>17640</v>
      </c>
      <c r="D29" s="17">
        <v>80589</v>
      </c>
      <c r="E29" s="17">
        <v>98229</v>
      </c>
      <c r="F29" s="17">
        <v>90826</v>
      </c>
      <c r="G29" s="18">
        <f>IF(AND(F65&lt;&gt;0,90826&lt;&gt;0),IF(100*90826/(F65-0)&lt;0.005,"*",100*90826/(F65-0)),0)</f>
        <v>1.4833578311285318</v>
      </c>
    </row>
    <row r="30" spans="1:7" x14ac:dyDescent="0.2">
      <c r="A30" s="11" t="s">
        <v>131</v>
      </c>
      <c r="B30" s="17">
        <v>82843</v>
      </c>
      <c r="C30" s="17">
        <v>14787</v>
      </c>
      <c r="D30" s="17">
        <v>67556</v>
      </c>
      <c r="E30" s="17">
        <v>82343</v>
      </c>
      <c r="F30" s="17">
        <v>76138</v>
      </c>
      <c r="G30" s="18">
        <f>IF(AND(F65&lt;&gt;0,76138&lt;&gt;0),IF(100*76138/(F65-0)&lt;0.005,"*",100*76138/(F65-0)),0)</f>
        <v>1.2434754205454843</v>
      </c>
    </row>
    <row r="31" spans="1:7" x14ac:dyDescent="0.2">
      <c r="A31" s="11" t="s">
        <v>132</v>
      </c>
      <c r="B31" s="17">
        <v>86179</v>
      </c>
      <c r="C31" s="17">
        <v>15382</v>
      </c>
      <c r="D31" s="17">
        <v>70276</v>
      </c>
      <c r="E31" s="17">
        <v>85658</v>
      </c>
      <c r="F31" s="17">
        <v>79204</v>
      </c>
      <c r="G31" s="18">
        <f>IF(AND(F65&lt;&gt;0,79204&lt;&gt;0),IF(100*79204/(F65-0)&lt;0.005,"*",100*79204/(F65-0)),0)</f>
        <v>1.2935489139310796</v>
      </c>
    </row>
    <row r="32" spans="1:7" x14ac:dyDescent="0.2">
      <c r="A32" s="11" t="s">
        <v>133</v>
      </c>
      <c r="B32" s="17">
        <v>16457</v>
      </c>
      <c r="C32" s="17">
        <v>2937</v>
      </c>
      <c r="D32" s="17">
        <v>13420</v>
      </c>
      <c r="E32" s="17">
        <v>16357</v>
      </c>
      <c r="F32" s="17">
        <v>15125</v>
      </c>
      <c r="G32" s="18">
        <f>IF(AND(F65&lt;&gt;0,15125&lt;&gt;0),IF(100*15125/(F65-0)&lt;0.005,"*",100*15125/(F65-0)),0)</f>
        <v>0.24701943491752409</v>
      </c>
    </row>
    <row r="33" spans="1:7" x14ac:dyDescent="0.2">
      <c r="A33" s="11" t="s">
        <v>134</v>
      </c>
      <c r="B33" s="17">
        <v>34497</v>
      </c>
      <c r="C33" s="17">
        <v>6157</v>
      </c>
      <c r="D33" s="17">
        <v>28131</v>
      </c>
      <c r="E33" s="17">
        <v>34288</v>
      </c>
      <c r="F33" s="17">
        <v>31705</v>
      </c>
      <c r="G33" s="18">
        <f>IF(AND(F65&lt;&gt;0,31705&lt;&gt;0),IF(100*31705/(F65-0)&lt;0.005,"*",100*31705/(F65-0)),0)</f>
        <v>0.51780173117752737</v>
      </c>
    </row>
    <row r="34" spans="1:7" x14ac:dyDescent="0.2">
      <c r="A34" s="11" t="s">
        <v>135</v>
      </c>
      <c r="B34" s="17">
        <v>51922</v>
      </c>
      <c r="C34" s="17">
        <v>9268</v>
      </c>
      <c r="D34" s="17">
        <v>42341</v>
      </c>
      <c r="E34" s="17">
        <v>51609</v>
      </c>
      <c r="F34" s="17">
        <v>47720</v>
      </c>
      <c r="G34" s="18">
        <f>IF(AND(F65&lt;&gt;0,47720&lt;&gt;0),IF(100*47720/(F65-0)&lt;0.005,"*",100*47720/(F65-0)),0)</f>
        <v>0.77935652457945448</v>
      </c>
    </row>
    <row r="35" spans="1:7" x14ac:dyDescent="0.2">
      <c r="A35" s="11" t="s">
        <v>136</v>
      </c>
      <c r="B35" s="17">
        <v>10181</v>
      </c>
      <c r="C35" s="17">
        <v>1817</v>
      </c>
      <c r="D35" s="17">
        <v>8302</v>
      </c>
      <c r="E35" s="17">
        <v>10119</v>
      </c>
      <c r="F35" s="17">
        <v>9357</v>
      </c>
      <c r="G35" s="18">
        <f>IF(AND(F65&lt;&gt;0,9357&lt;&gt;0),IF(100*9357/(F65-0)&lt;0.005,"*",100*9357/(F65-0)),0)</f>
        <v>0.15281724644781969</v>
      </c>
    </row>
    <row r="36" spans="1:7" x14ac:dyDescent="0.2">
      <c r="A36" s="11" t="s">
        <v>137</v>
      </c>
      <c r="B36" s="17">
        <v>148407</v>
      </c>
      <c r="C36" s="17">
        <v>26490</v>
      </c>
      <c r="D36" s="17">
        <v>121021</v>
      </c>
      <c r="E36" s="17">
        <v>147511</v>
      </c>
      <c r="F36" s="17">
        <v>136395</v>
      </c>
      <c r="G36" s="18">
        <f>IF(AND(F65&lt;&gt;0,136395&lt;&gt;0),IF(100*136395/(F65-0)&lt;0.005,"*",100*136395/(F65-0)),0)</f>
        <v>2.2275845173934345</v>
      </c>
    </row>
    <row r="37" spans="1:7" x14ac:dyDescent="0.2">
      <c r="A37" s="11" t="s">
        <v>138</v>
      </c>
      <c r="B37" s="17">
        <v>39198</v>
      </c>
      <c r="C37" s="17">
        <v>6997</v>
      </c>
      <c r="D37" s="17">
        <v>31965</v>
      </c>
      <c r="E37" s="17">
        <v>38962</v>
      </c>
      <c r="F37" s="17">
        <v>36025</v>
      </c>
      <c r="G37" s="18">
        <f>IF(AND(F65&lt;&gt;0,36025&lt;&gt;0),IF(100*36025/(F65-0)&lt;0.005,"*",100*36025/(F65-0)),0)</f>
        <v>0.58835538134901189</v>
      </c>
    </row>
    <row r="38" spans="1:7" x14ac:dyDescent="0.2">
      <c r="A38" s="11" t="s">
        <v>139</v>
      </c>
      <c r="B38" s="17">
        <v>519757</v>
      </c>
      <c r="C38" s="17">
        <v>92773</v>
      </c>
      <c r="D38" s="17">
        <v>423845</v>
      </c>
      <c r="E38" s="17">
        <v>516618</v>
      </c>
      <c r="F38" s="17">
        <v>477689</v>
      </c>
      <c r="G38" s="18">
        <f>IF(AND(F65&lt;&gt;0,477689&lt;&gt;0),IF(100*477689/(F65-0)&lt;0.005,"*",100*477689/(F65-0)),0)</f>
        <v>7.8015515270292344</v>
      </c>
    </row>
    <row r="39" spans="1:7" x14ac:dyDescent="0.2">
      <c r="A39" s="11" t="s">
        <v>140</v>
      </c>
      <c r="B39" s="17">
        <v>196478</v>
      </c>
      <c r="C39" s="17">
        <v>35070</v>
      </c>
      <c r="D39" s="17">
        <v>160222</v>
      </c>
      <c r="E39" s="17">
        <v>195292</v>
      </c>
      <c r="F39" s="17">
        <v>180575</v>
      </c>
      <c r="G39" s="18">
        <f>IF(AND(F65&lt;&gt;0,180575&lt;&gt;0),IF(100*180575/(F65-0)&lt;0.005,"*",100*180575/(F65-0)),0)</f>
        <v>2.9491262453045892</v>
      </c>
    </row>
    <row r="40" spans="1:7" x14ac:dyDescent="0.2">
      <c r="A40" s="11" t="s">
        <v>141</v>
      </c>
      <c r="B40" s="17">
        <v>11032</v>
      </c>
      <c r="C40" s="17">
        <v>1969</v>
      </c>
      <c r="D40" s="17">
        <v>8996</v>
      </c>
      <c r="E40" s="17">
        <v>10965</v>
      </c>
      <c r="F40" s="17">
        <v>10139</v>
      </c>
      <c r="G40" s="18">
        <f>IF(AND(F65&lt;&gt;0,10139&lt;&gt;0),IF(100*10139/(F65-0)&lt;0.005,"*",100*10139/(F65-0)),0)</f>
        <v>0.16558876367793565</v>
      </c>
    </row>
    <row r="41" spans="1:7" x14ac:dyDescent="0.2">
      <c r="A41" s="11" t="s">
        <v>142</v>
      </c>
      <c r="B41" s="17">
        <v>161363</v>
      </c>
      <c r="C41" s="17">
        <v>28802</v>
      </c>
      <c r="D41" s="17">
        <v>131586</v>
      </c>
      <c r="E41" s="17">
        <v>160388</v>
      </c>
      <c r="F41" s="17">
        <v>148303</v>
      </c>
      <c r="G41" s="18">
        <f>IF(AND(F65&lt;&gt;0,148303&lt;&gt;0),IF(100*148303/(F65-0)&lt;0.005,"*",100*148303/(F65-0)),0)</f>
        <v>2.4220643475420545</v>
      </c>
    </row>
    <row r="42" spans="1:7" x14ac:dyDescent="0.2">
      <c r="A42" s="11" t="s">
        <v>143</v>
      </c>
      <c r="B42" s="17">
        <v>63391</v>
      </c>
      <c r="C42" s="17">
        <v>11315</v>
      </c>
      <c r="D42" s="17">
        <v>51693</v>
      </c>
      <c r="E42" s="17">
        <v>63008</v>
      </c>
      <c r="F42" s="17">
        <v>58260</v>
      </c>
      <c r="G42" s="18">
        <f>IF(AND(F65&lt;&gt;0,58260&lt;&gt;0),IF(100*58260/(F65-0)&lt;0.005,"*",100*58260/(F65-0)),0)</f>
        <v>0.95149436550710431</v>
      </c>
    </row>
    <row r="43" spans="1:7" x14ac:dyDescent="0.2">
      <c r="A43" s="11" t="s">
        <v>144</v>
      </c>
      <c r="B43" s="17">
        <v>73977</v>
      </c>
      <c r="C43" s="17">
        <v>13204</v>
      </c>
      <c r="D43" s="17">
        <v>60326</v>
      </c>
      <c r="E43" s="17">
        <v>73530</v>
      </c>
      <c r="F43" s="17">
        <v>67989</v>
      </c>
      <c r="G43" s="18">
        <f>IF(AND(F65&lt;&gt;0,67989&lt;&gt;0),IF(100*67989/(F65-0)&lt;0.005,"*",100*67989/(F65-0)),0)</f>
        <v>1.1103870651641352</v>
      </c>
    </row>
    <row r="44" spans="1:7" x14ac:dyDescent="0.2">
      <c r="A44" s="11" t="s">
        <v>145</v>
      </c>
      <c r="B44" s="17">
        <v>200394</v>
      </c>
      <c r="C44" s="17">
        <v>35769</v>
      </c>
      <c r="D44" s="17">
        <v>163415</v>
      </c>
      <c r="E44" s="17">
        <v>199184</v>
      </c>
      <c r="F44" s="17">
        <v>184175</v>
      </c>
      <c r="G44" s="18">
        <f>IF(AND(F65&lt;&gt;0,184175&lt;&gt;0),IF(100*184175/(F65-0)&lt;0.005,"*",100*184175/(F65-0)),0)</f>
        <v>3.0079209537808262</v>
      </c>
    </row>
    <row r="45" spans="1:7" x14ac:dyDescent="0.2">
      <c r="A45" s="11" t="s">
        <v>146</v>
      </c>
      <c r="B45" s="17">
        <v>20365</v>
      </c>
      <c r="C45" s="17">
        <v>3635</v>
      </c>
      <c r="D45" s="17">
        <v>16607</v>
      </c>
      <c r="E45" s="17">
        <v>20242</v>
      </c>
      <c r="F45" s="17">
        <v>18717</v>
      </c>
      <c r="G45" s="18">
        <f>IF(AND(F65&lt;&gt;0,18717&lt;&gt;0),IF(100*18717/(F65-0)&lt;0.005,"*",100*18717/(F65-0)),0)</f>
        <v>0.30568348848603627</v>
      </c>
    </row>
    <row r="46" spans="1:7" x14ac:dyDescent="0.2">
      <c r="A46" s="11" t="s">
        <v>147</v>
      </c>
      <c r="B46" s="17">
        <v>98786</v>
      </c>
      <c r="C46" s="17">
        <v>17633</v>
      </c>
      <c r="D46" s="17">
        <v>80557</v>
      </c>
      <c r="E46" s="17">
        <v>98190</v>
      </c>
      <c r="F46" s="17">
        <v>90790</v>
      </c>
      <c r="G46" s="18">
        <f>IF(AND(F65&lt;&gt;0,90790&lt;&gt;0),IF(100*90790/(F65-0)&lt;0.005,"*",100*90790/(F65-0)),0)</f>
        <v>1.4827698840437693</v>
      </c>
    </row>
    <row r="47" spans="1:7" x14ac:dyDescent="0.2">
      <c r="A47" s="11" t="s">
        <v>148</v>
      </c>
      <c r="B47" s="17">
        <v>17698</v>
      </c>
      <c r="C47" s="17">
        <v>3159</v>
      </c>
      <c r="D47" s="17">
        <v>14432</v>
      </c>
      <c r="E47" s="17">
        <v>17591</v>
      </c>
      <c r="F47" s="17">
        <v>16266</v>
      </c>
      <c r="G47" s="18">
        <f>IF(AND(F65&lt;&gt;0,16266&lt;&gt;0),IF(100*16266/(F65-0)&lt;0.005,"*",100*16266/(F65-0)),0)</f>
        <v>0.26565409113179816</v>
      </c>
    </row>
    <row r="48" spans="1:7" x14ac:dyDescent="0.2">
      <c r="A48" s="11" t="s">
        <v>149</v>
      </c>
      <c r="B48" s="17">
        <v>126770</v>
      </c>
      <c r="C48" s="17">
        <v>22628</v>
      </c>
      <c r="D48" s="17">
        <v>103377</v>
      </c>
      <c r="E48" s="17">
        <v>126005</v>
      </c>
      <c r="F48" s="17">
        <v>116510</v>
      </c>
      <c r="G48" s="18">
        <f>IF(AND(F65&lt;&gt;0,116510&lt;&gt;0),IF(100*116510/(F65-0)&lt;0.005,"*",100*116510/(F65-0)),0)</f>
        <v>1.9028254123795525</v>
      </c>
    </row>
    <row r="49" spans="1:7" x14ac:dyDescent="0.2">
      <c r="A49" s="11" t="s">
        <v>150</v>
      </c>
      <c r="B49" s="17">
        <v>544261</v>
      </c>
      <c r="C49" s="17">
        <v>97147</v>
      </c>
      <c r="D49" s="17">
        <v>443828</v>
      </c>
      <c r="E49" s="17">
        <v>540975</v>
      </c>
      <c r="F49" s="17">
        <v>500210</v>
      </c>
      <c r="G49" s="18">
        <f>IF(AND(F65&lt;&gt;0,500210&lt;&gt;0),IF(100*500210/(F65-0)&lt;0.005,"*",100*500210/(F65-0)),0)</f>
        <v>8.1693614241384935</v>
      </c>
    </row>
    <row r="50" spans="1:7" x14ac:dyDescent="0.2">
      <c r="A50" s="11" t="s">
        <v>151</v>
      </c>
      <c r="B50" s="17">
        <v>46131</v>
      </c>
      <c r="C50" s="17">
        <v>8234</v>
      </c>
      <c r="D50" s="17">
        <v>37618</v>
      </c>
      <c r="E50" s="17">
        <v>45852</v>
      </c>
      <c r="F50" s="17">
        <v>42397</v>
      </c>
      <c r="G50" s="18">
        <f>IF(AND(F65&lt;&gt;0,42397&lt;&gt;0),IF(100*42397/(F65-0)&lt;0.005,"*",100*42397/(F65-0)),0)</f>
        <v>0.69242201535195169</v>
      </c>
    </row>
    <row r="51" spans="1:7" x14ac:dyDescent="0.2">
      <c r="A51" s="11" t="s">
        <v>152</v>
      </c>
      <c r="B51" s="17">
        <v>14035</v>
      </c>
      <c r="C51" s="17">
        <v>2505</v>
      </c>
      <c r="D51" s="17">
        <v>11445</v>
      </c>
      <c r="E51" s="17">
        <v>13950</v>
      </c>
      <c r="F51" s="17">
        <v>12899</v>
      </c>
      <c r="G51" s="18">
        <f>IF(AND(F65&lt;&gt;0,12899&lt;&gt;0),IF(100*12899/(F65-0)&lt;0.005,"*",100*12899/(F65-0)),0)</f>
        <v>0.2106647068430508</v>
      </c>
    </row>
    <row r="52" spans="1:7" x14ac:dyDescent="0.2">
      <c r="A52" s="11" t="s">
        <v>153</v>
      </c>
      <c r="B52" s="17">
        <v>110962</v>
      </c>
      <c r="C52" s="17">
        <v>19806</v>
      </c>
      <c r="D52" s="17">
        <v>90486</v>
      </c>
      <c r="E52" s="17">
        <v>110292</v>
      </c>
      <c r="F52" s="17">
        <v>101981</v>
      </c>
      <c r="G52" s="18">
        <f>IF(AND(F65&lt;&gt;0,101981&lt;&gt;0),IF(100*101981/(F65-0)&lt;0.005,"*",100*101981/(F65-0)),0)</f>
        <v>1.6655397680875388</v>
      </c>
    </row>
    <row r="53" spans="1:7" x14ac:dyDescent="0.2">
      <c r="A53" s="11" t="s">
        <v>154</v>
      </c>
      <c r="B53" s="17">
        <v>135370</v>
      </c>
      <c r="C53" s="17">
        <v>24163</v>
      </c>
      <c r="D53" s="17">
        <v>110390</v>
      </c>
      <c r="E53" s="17">
        <v>134553</v>
      </c>
      <c r="F53" s="17">
        <v>124413</v>
      </c>
      <c r="G53" s="18">
        <f>IF(AND(F65&lt;&gt;0,124413&lt;&gt;0),IF(100*124413/(F65-0)&lt;0.005,"*",100*124413/(F65-0)),0)</f>
        <v>2.0318961293483588</v>
      </c>
    </row>
    <row r="54" spans="1:7" x14ac:dyDescent="0.2">
      <c r="A54" s="11" t="s">
        <v>155</v>
      </c>
      <c r="B54" s="17">
        <v>34515</v>
      </c>
      <c r="C54" s="17">
        <v>6161</v>
      </c>
      <c r="D54" s="17">
        <v>28146</v>
      </c>
      <c r="E54" s="17">
        <v>34307</v>
      </c>
      <c r="F54" s="17">
        <v>31721</v>
      </c>
      <c r="G54" s="18">
        <f>IF(AND(F65&lt;&gt;0,31721&lt;&gt;0),IF(100*31721/(F65-0)&lt;0.005,"*",100*31721/(F65-0)),0)</f>
        <v>0.51806304099297729</v>
      </c>
    </row>
    <row r="55" spans="1:7" x14ac:dyDescent="0.2">
      <c r="A55" s="11" t="s">
        <v>156</v>
      </c>
      <c r="B55" s="17">
        <v>88227</v>
      </c>
      <c r="C55" s="17">
        <v>15748</v>
      </c>
      <c r="D55" s="17">
        <v>71946</v>
      </c>
      <c r="E55" s="17">
        <v>87694</v>
      </c>
      <c r="F55" s="17">
        <v>81086</v>
      </c>
      <c r="G55" s="18">
        <f>IF(AND(F65&lt;&gt;0,81086&lt;&gt;0),IF(100*81086/(F65-0)&lt;0.005,"*",100*81086/(F65-0)),0)</f>
        <v>1.3242854809733791</v>
      </c>
    </row>
    <row r="56" spans="1:7" x14ac:dyDescent="0.2">
      <c r="A56" s="11" t="s">
        <v>157</v>
      </c>
      <c r="B56" s="17">
        <v>8187</v>
      </c>
      <c r="C56" s="17">
        <v>1461</v>
      </c>
      <c r="D56" s="17">
        <v>6676</v>
      </c>
      <c r="E56" s="17">
        <v>8137</v>
      </c>
      <c r="F56" s="17">
        <v>7524</v>
      </c>
      <c r="G56" s="18">
        <f>IF(AND(F65&lt;&gt;0,7524&lt;&gt;0),IF(100*7524/(F65-0)&lt;0.005,"*",100*7524/(F65-0)),0)</f>
        <v>0.12288094071533562</v>
      </c>
    </row>
    <row r="57" spans="1:7" x14ac:dyDescent="0.2">
      <c r="A57" s="11" t="s">
        <v>158</v>
      </c>
      <c r="B57" s="17">
        <v>7438</v>
      </c>
      <c r="C57" s="17">
        <v>1328</v>
      </c>
      <c r="D57" s="17">
        <v>6065</v>
      </c>
      <c r="E57" s="17">
        <v>7393</v>
      </c>
      <c r="F57" s="17">
        <v>6836</v>
      </c>
      <c r="G57" s="18">
        <f>IF(AND(F65&lt;&gt;0,6836&lt;&gt;0),IF(100*6836/(F65-0)&lt;0.005,"*",100*6836/(F65-0)),0)</f>
        <v>0.11164461865098808</v>
      </c>
    </row>
    <row r="58" spans="1:7" x14ac:dyDescent="0.2">
      <c r="A58" s="11" t="s">
        <v>159</v>
      </c>
      <c r="B58" s="17">
        <v>10374</v>
      </c>
      <c r="C58" s="17">
        <v>1852</v>
      </c>
      <c r="D58" s="17">
        <v>8460</v>
      </c>
      <c r="E58" s="17">
        <v>10312</v>
      </c>
      <c r="F58" s="17">
        <v>9534</v>
      </c>
      <c r="G58" s="18">
        <f>IF(AND(F65&lt;&gt;0,9534&lt;&gt;0),IF(100*9534/(F65-0)&lt;0.005,"*",100*9534/(F65-0)),0)</f>
        <v>0.15570798628123469</v>
      </c>
    </row>
    <row r="59" spans="1:7" x14ac:dyDescent="0.2">
      <c r="A59" s="11" t="s">
        <v>160</v>
      </c>
      <c r="B59" s="17">
        <v>4843</v>
      </c>
      <c r="C59" s="17">
        <v>864</v>
      </c>
      <c r="D59" s="17">
        <v>3949</v>
      </c>
      <c r="E59" s="17">
        <v>4813</v>
      </c>
      <c r="F59" s="17">
        <v>4451</v>
      </c>
      <c r="G59" s="18">
        <f>IF(AND(F65&lt;&gt;0,4451&lt;&gt;0),IF(100*4451/(F65-0)&lt;0.005,"*",100*4451/(F65-0)),0)</f>
        <v>7.269312428548097E-2</v>
      </c>
    </row>
    <row r="60" spans="1:7" x14ac:dyDescent="0.2">
      <c r="A60" s="11" t="s">
        <v>161</v>
      </c>
      <c r="B60" s="17">
        <v>226508</v>
      </c>
      <c r="C60" s="17">
        <v>40430</v>
      </c>
      <c r="D60" s="17">
        <v>184710</v>
      </c>
      <c r="E60" s="17">
        <v>225140</v>
      </c>
      <c r="F60" s="17">
        <v>208175</v>
      </c>
      <c r="G60" s="18">
        <f>IF(AND(F65&lt;&gt;0,208175&lt;&gt;0),IF(100*208175/(F65-0)&lt;0.005,"*",100*208175/(F65-0)),0)</f>
        <v>3.3998856769557406</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6878</v>
      </c>
      <c r="C62" s="17">
        <v>1228</v>
      </c>
      <c r="D62" s="17">
        <v>5609</v>
      </c>
      <c r="E62" s="17">
        <v>6837</v>
      </c>
      <c r="F62" s="17">
        <v>6321</v>
      </c>
      <c r="G62" s="18">
        <f>IF(AND(F65&lt;&gt;0,6321&lt;&gt;0),IF(100*6321/(F65-0)&lt;0.005,"*",100*6321/(F65-0)),0)</f>
        <v>0.10323370896619304</v>
      </c>
    </row>
    <row r="63" spans="1:7" x14ac:dyDescent="0.2">
      <c r="A63" s="11" t="s">
        <v>164</v>
      </c>
      <c r="B63" s="17">
        <v>65643</v>
      </c>
      <c r="C63" s="17">
        <v>11717</v>
      </c>
      <c r="D63" s="17">
        <v>53530</v>
      </c>
      <c r="E63" s="17">
        <v>65247</v>
      </c>
      <c r="F63" s="17">
        <v>60330</v>
      </c>
      <c r="G63" s="18">
        <f>IF(AND(F65&lt;&gt;0,60330&lt;&gt;0),IF(100*60330/(F65-0)&lt;0.005,"*",100*60330/(F65-0)),0)</f>
        <v>0.98530132288094074</v>
      </c>
    </row>
    <row r="64" spans="1:7" x14ac:dyDescent="0.2">
      <c r="A64" s="11" t="s">
        <v>165</v>
      </c>
      <c r="B64" s="17">
        <v>3065</v>
      </c>
      <c r="C64" s="17">
        <v>0</v>
      </c>
      <c r="D64" s="17">
        <v>0</v>
      </c>
      <c r="E64" s="17">
        <v>0</v>
      </c>
      <c r="F64" s="17">
        <v>0</v>
      </c>
      <c r="G64" s="18">
        <v>0</v>
      </c>
    </row>
    <row r="65" spans="1:7" ht="15" customHeight="1" x14ac:dyDescent="0.2">
      <c r="A65" s="19" t="s">
        <v>106</v>
      </c>
      <c r="B65" s="20">
        <f>110340+23540+130542+69987+1123256+67957+42284+15814+14135+367569+217098+30056+30067+226365+111948+45051+41363+97835+121829+18392+118171+82899+193840+98825+82843+86179+16457+34497+51922+10181+148407+39198+519757+196478+11032+161363+63391+73977+200394+20365+98786+17698+126770+544261+46131+14035+110962+135370+34515+88227+8187+7438+10374+4843+226508+0+6878+65643+3065+0</f>
        <v>6665295</v>
      </c>
      <c r="C65" s="20">
        <f>19695+4202+23301+12492+200493+12130+7547+2823+2523+65608+38750+5365+5367+40404+19982+8041+7383+17463+21746+3283+21093+14797+34599+17640+14787+15382+2937+6157+9268+1817+26490+6997+92773+35070+1969+28802+11315+13204+35769+3635+17633+3159+22628+97147+8234+2505+19806+24163+6161+15748+1461+1328+1852+864+40430+0+1228+11717+0+0</f>
        <v>1189163</v>
      </c>
      <c r="D65" s="20">
        <f>89979+19196+106453+57072+915980+55417+34481+12896+11527+299741+177037+24510+24519+184593+91290+36738+33730+79781+99348+14998+96365+67601+158070+80589+67556+70276+13420+28131+42341+8302+121021+31965+423845+160222+8996+131586+51693+60326+163415+16607+80557+14432+103377+443828+37618+11445+90486+110390+28146+71946+6676+6065+8460+3949+184710+0+5609+53530+0+0</f>
        <v>5432837</v>
      </c>
      <c r="E65" s="20">
        <f>SUM(C65:D65)</f>
        <v>6622000</v>
      </c>
      <c r="F65" s="20">
        <f>101409+21635+119976+64322+1032342+62457+38862+14534+12991+337819+199527+27623+27633+208044+102887+41405+38015+89916+111968+16903+108606+76189+178151+90826+76138+79204+15125+31705+47720+9357+136395+36025+477689+180575+10139+148303+58260+67989+184175+18717+90790+16266+116510+500210+42397+12899+101981+124413+31721+81086+7524+6836+9534+4451+208175+0+6321+60330+0+0</f>
        <v>6123000</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95</v>
      </c>
      <c r="B1" s="10"/>
      <c r="C1" s="10"/>
      <c r="D1" s="10"/>
      <c r="E1" s="10"/>
      <c r="F1" s="10"/>
      <c r="G1" s="12" t="s">
        <v>96</v>
      </c>
    </row>
    <row r="2" spans="1:7" x14ac:dyDescent="0.2">
      <c r="A2" s="13" t="s">
        <v>172</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53471</v>
      </c>
      <c r="C6" s="17">
        <v>0</v>
      </c>
      <c r="D6" s="17">
        <v>57688</v>
      </c>
      <c r="E6" s="17">
        <v>57688</v>
      </c>
      <c r="F6" s="17">
        <v>62374</v>
      </c>
      <c r="G6" s="18">
        <f>IF(AND(F65&lt;&gt;0,62374&lt;&gt;0),IF(100*62374/(F65-0)&lt;0.005,"*",100*62374/(F65-0)),0)</f>
        <v>1.5857556059107238</v>
      </c>
    </row>
    <row r="7" spans="1:7" x14ac:dyDescent="0.2">
      <c r="A7" s="11" t="s">
        <v>108</v>
      </c>
      <c r="B7" s="17">
        <v>9359</v>
      </c>
      <c r="C7" s="17">
        <v>0</v>
      </c>
      <c r="D7" s="17">
        <v>10097</v>
      </c>
      <c r="E7" s="17">
        <v>10097</v>
      </c>
      <c r="F7" s="17">
        <v>10917</v>
      </c>
      <c r="G7" s="18">
        <f>IF(AND(F65&lt;&gt;0,10917&lt;&gt;0),IF(100*10917/(F65-0)&lt;0.005,"*",100*10917/(F65-0)),0)</f>
        <v>0.27754663721626593</v>
      </c>
    </row>
    <row r="8" spans="1:7" x14ac:dyDescent="0.2">
      <c r="A8" s="11" t="s">
        <v>109</v>
      </c>
      <c r="B8" s="17">
        <v>49935</v>
      </c>
      <c r="C8" s="17">
        <v>0</v>
      </c>
      <c r="D8" s="17">
        <v>53873</v>
      </c>
      <c r="E8" s="17">
        <v>53873</v>
      </c>
      <c r="F8" s="17">
        <v>58249</v>
      </c>
      <c r="G8" s="18">
        <f>IF(AND(F65&lt;&gt;0,58249&lt;&gt;0),IF(100*58249/(F65-0)&lt;0.005,"*",100*58249/(F65-0)),0)</f>
        <v>1.4808843153989444</v>
      </c>
    </row>
    <row r="9" spans="1:7" x14ac:dyDescent="0.2">
      <c r="A9" s="11" t="s">
        <v>110</v>
      </c>
      <c r="B9" s="17">
        <v>56151</v>
      </c>
      <c r="C9" s="17">
        <v>0</v>
      </c>
      <c r="D9" s="17">
        <v>60580</v>
      </c>
      <c r="E9" s="17">
        <v>60580</v>
      </c>
      <c r="F9" s="17">
        <v>65500</v>
      </c>
      <c r="G9" s="18">
        <f>IF(AND(F65&lt;&gt;0,65500&lt;&gt;0),IF(100*65500/(F65-0)&lt;0.005,"*",100*65500/(F65-0)),0)</f>
        <v>1.6652289766112871</v>
      </c>
    </row>
    <row r="10" spans="1:7" x14ac:dyDescent="0.2">
      <c r="A10" s="11" t="s">
        <v>111</v>
      </c>
      <c r="B10" s="17">
        <v>444875</v>
      </c>
      <c r="C10" s="17">
        <v>0</v>
      </c>
      <c r="D10" s="17">
        <v>479963</v>
      </c>
      <c r="E10" s="17">
        <v>479963</v>
      </c>
      <c r="F10" s="17">
        <v>518946</v>
      </c>
      <c r="G10" s="18">
        <f>IF(AND(F65&lt;&gt;0,518946&lt;&gt;0),IF(100*518946/(F65-0)&lt;0.005,"*",100*518946/(F65-0)),0)</f>
        <v>13.193342236588107</v>
      </c>
    </row>
    <row r="11" spans="1:7" x14ac:dyDescent="0.2">
      <c r="A11" s="11" t="s">
        <v>112</v>
      </c>
      <c r="B11" s="17">
        <v>26285</v>
      </c>
      <c r="C11" s="17">
        <v>0</v>
      </c>
      <c r="D11" s="17">
        <v>28358</v>
      </c>
      <c r="E11" s="17">
        <v>28358</v>
      </c>
      <c r="F11" s="17">
        <v>30661</v>
      </c>
      <c r="G11" s="18">
        <f>IF(AND(F65&lt;&gt;0,30661&lt;&gt;0),IF(100*30661/(F65-0)&lt;0.005,"*",100*30661/(F65-0)),0)</f>
        <v>0.77950512445616293</v>
      </c>
    </row>
    <row r="12" spans="1:7" x14ac:dyDescent="0.2">
      <c r="A12" s="11" t="s">
        <v>113</v>
      </c>
      <c r="B12" s="17">
        <v>17833</v>
      </c>
      <c r="C12" s="17">
        <v>0</v>
      </c>
      <c r="D12" s="17">
        <v>19240</v>
      </c>
      <c r="E12" s="17">
        <v>19240</v>
      </c>
      <c r="F12" s="17">
        <v>20802</v>
      </c>
      <c r="G12" s="18">
        <f>IF(AND(F65&lt;&gt;0,20802&lt;&gt;0),IF(100*20802/(F65-0)&lt;0.005,"*",100*20802/(F65-0)),0)</f>
        <v>0.52885638429722126</v>
      </c>
    </row>
    <row r="13" spans="1:7" x14ac:dyDescent="0.2">
      <c r="A13" s="11" t="s">
        <v>114</v>
      </c>
      <c r="B13" s="17">
        <v>17187</v>
      </c>
      <c r="C13" s="17">
        <v>0</v>
      </c>
      <c r="D13" s="17">
        <v>18543</v>
      </c>
      <c r="E13" s="17">
        <v>18543</v>
      </c>
      <c r="F13" s="17">
        <v>20049</v>
      </c>
      <c r="G13" s="18">
        <f>IF(AND(F65&lt;&gt;0,20049&lt;&gt;0),IF(100*20049/(F65-0)&lt;0.005,"*",100*20049/(F65-0)),0)</f>
        <v>0.50971260690198006</v>
      </c>
    </row>
    <row r="14" spans="1:7" x14ac:dyDescent="0.2">
      <c r="A14" s="11" t="s">
        <v>115</v>
      </c>
      <c r="B14" s="17">
        <v>9999</v>
      </c>
      <c r="C14" s="17">
        <v>0</v>
      </c>
      <c r="D14" s="17">
        <v>10788</v>
      </c>
      <c r="E14" s="17">
        <v>10788</v>
      </c>
      <c r="F14" s="17">
        <v>11664</v>
      </c>
      <c r="G14" s="18">
        <f>IF(AND(F65&lt;&gt;0,11664&lt;&gt;0),IF(100*11664/(F65-0)&lt;0.005,"*",100*11664/(F65-0)),0)</f>
        <v>0.29653787455258096</v>
      </c>
    </row>
    <row r="15" spans="1:7" x14ac:dyDescent="0.2">
      <c r="A15" s="11" t="s">
        <v>116</v>
      </c>
      <c r="B15" s="17">
        <v>254988</v>
      </c>
      <c r="C15" s="17">
        <v>0</v>
      </c>
      <c r="D15" s="17">
        <v>275099</v>
      </c>
      <c r="E15" s="17">
        <v>275099</v>
      </c>
      <c r="F15" s="17">
        <v>297443</v>
      </c>
      <c r="G15" s="18">
        <f>IF(AND(F65&lt;&gt;0,297443&lt;&gt;0),IF(100*297443/(F65-0)&lt;0.005,"*",100*297443/(F65-0)),0)</f>
        <v>7.5619954578655122</v>
      </c>
    </row>
    <row r="16" spans="1:7" x14ac:dyDescent="0.2">
      <c r="A16" s="11" t="s">
        <v>117</v>
      </c>
      <c r="B16" s="17">
        <v>116416</v>
      </c>
      <c r="C16" s="17">
        <v>0</v>
      </c>
      <c r="D16" s="17">
        <v>125598</v>
      </c>
      <c r="E16" s="17">
        <v>125598</v>
      </c>
      <c r="F16" s="17">
        <v>135799</v>
      </c>
      <c r="G16" s="18">
        <f>IF(AND(F65&lt;&gt;0,135799&lt;&gt;0),IF(100*135799/(F65-0)&lt;0.005,"*",100*135799/(F65-0)),0)</f>
        <v>3.4524645770203994</v>
      </c>
    </row>
    <row r="17" spans="1:7" x14ac:dyDescent="0.2">
      <c r="A17" s="11" t="s">
        <v>118</v>
      </c>
      <c r="B17" s="17">
        <v>7032</v>
      </c>
      <c r="C17" s="17">
        <v>0</v>
      </c>
      <c r="D17" s="17">
        <v>7587</v>
      </c>
      <c r="E17" s="17">
        <v>7587</v>
      </c>
      <c r="F17" s="17">
        <v>8203</v>
      </c>
      <c r="G17" s="18">
        <f>IF(AND(F65&lt;&gt;0,8203&lt;&gt;0),IF(100*8203/(F65-0)&lt;0.005,"*",100*8203/(F65-0)),0)</f>
        <v>0.20854768389530362</v>
      </c>
    </row>
    <row r="18" spans="1:7" x14ac:dyDescent="0.2">
      <c r="A18" s="11" t="s">
        <v>119</v>
      </c>
      <c r="B18" s="17">
        <v>7766</v>
      </c>
      <c r="C18" s="17">
        <v>0</v>
      </c>
      <c r="D18" s="17">
        <v>8379</v>
      </c>
      <c r="E18" s="17">
        <v>8379</v>
      </c>
      <c r="F18" s="17">
        <v>9059</v>
      </c>
      <c r="G18" s="18">
        <f>IF(AND(F65&lt;&gt;0,9059&lt;&gt;0),IF(100*9059/(F65-0)&lt;0.005,"*",100*9059/(F65-0)),0)</f>
        <v>0.23031006563544501</v>
      </c>
    </row>
    <row r="19" spans="1:7" x14ac:dyDescent="0.2">
      <c r="A19" s="11" t="s">
        <v>120</v>
      </c>
      <c r="B19" s="17">
        <v>145355</v>
      </c>
      <c r="C19" s="17">
        <v>0</v>
      </c>
      <c r="D19" s="17">
        <v>156819</v>
      </c>
      <c r="E19" s="17">
        <v>156819</v>
      </c>
      <c r="F19" s="17">
        <v>169557</v>
      </c>
      <c r="G19" s="18">
        <f>IF(AND(F65&lt;&gt;0,169557&lt;&gt;0),IF(100*169557/(F65-0)&lt;0.005,"*",100*169557/(F65-0)),0)</f>
        <v>4.3107057952256485</v>
      </c>
    </row>
    <row r="20" spans="1:7" x14ac:dyDescent="0.2">
      <c r="A20" s="11" t="s">
        <v>121</v>
      </c>
      <c r="B20" s="17">
        <v>59147</v>
      </c>
      <c r="C20" s="17">
        <v>0</v>
      </c>
      <c r="D20" s="17">
        <v>63812</v>
      </c>
      <c r="E20" s="17">
        <v>63812</v>
      </c>
      <c r="F20" s="17">
        <v>68995</v>
      </c>
      <c r="G20" s="18">
        <f>IF(AND(F65&lt;&gt;0,68995&lt;&gt;0),IF(100*68995/(F65-0)&lt;0.005,"*",100*68995/(F65-0)),0)</f>
        <v>1.754083560935813</v>
      </c>
    </row>
    <row r="21" spans="1:7" x14ac:dyDescent="0.2">
      <c r="A21" s="11" t="s">
        <v>122</v>
      </c>
      <c r="B21" s="17">
        <v>27563</v>
      </c>
      <c r="C21" s="17">
        <v>0</v>
      </c>
      <c r="D21" s="17">
        <v>29737</v>
      </c>
      <c r="E21" s="17">
        <v>29737</v>
      </c>
      <c r="F21" s="17">
        <v>32152</v>
      </c>
      <c r="G21" s="18">
        <f>IF(AND(F65&lt;&gt;0,32152&lt;&gt;0),IF(100*32152/(F65-0)&lt;0.005,"*",100*32152/(F65-0)),0)</f>
        <v>0.81741132909932979</v>
      </c>
    </row>
    <row r="22" spans="1:7" x14ac:dyDescent="0.2">
      <c r="A22" s="11" t="s">
        <v>123</v>
      </c>
      <c r="B22" s="17">
        <v>32494</v>
      </c>
      <c r="C22" s="17">
        <v>0</v>
      </c>
      <c r="D22" s="17">
        <v>35057</v>
      </c>
      <c r="E22" s="17">
        <v>35057</v>
      </c>
      <c r="F22" s="17">
        <v>37904</v>
      </c>
      <c r="G22" s="18">
        <f>IF(AND(F65&lt;&gt;0,37904&lt;&gt;0),IF(100*37904/(F65-0)&lt;0.005,"*",100*37904/(F65-0)),0)</f>
        <v>0.96364639892327053</v>
      </c>
    </row>
    <row r="23" spans="1:7" x14ac:dyDescent="0.2">
      <c r="A23" s="11" t="s">
        <v>124</v>
      </c>
      <c r="B23" s="17">
        <v>39658</v>
      </c>
      <c r="C23" s="17">
        <v>0</v>
      </c>
      <c r="D23" s="17">
        <v>42786</v>
      </c>
      <c r="E23" s="17">
        <v>42786</v>
      </c>
      <c r="F23" s="17">
        <v>46261</v>
      </c>
      <c r="G23" s="18">
        <f>IF(AND(F65&lt;&gt;0,46261&lt;&gt;0),IF(100*46261/(F65-0)&lt;0.005,"*",100*46261/(F65-0)),0)</f>
        <v>1.1761092776643474</v>
      </c>
    </row>
    <row r="24" spans="1:7" x14ac:dyDescent="0.2">
      <c r="A24" s="11" t="s">
        <v>125</v>
      </c>
      <c r="B24" s="17">
        <v>97851</v>
      </c>
      <c r="C24" s="17">
        <v>0</v>
      </c>
      <c r="D24" s="17">
        <v>105569</v>
      </c>
      <c r="E24" s="17">
        <v>105569</v>
      </c>
      <c r="F24" s="17">
        <v>114143</v>
      </c>
      <c r="G24" s="18">
        <f>IF(AND(F65&lt;&gt;0,114143&lt;&gt;0),IF(100*114143/(F65-0)&lt;0.005,"*",100*114143/(F65-0)),0)</f>
        <v>2.9018966576693455</v>
      </c>
    </row>
    <row r="25" spans="1:7" x14ac:dyDescent="0.2">
      <c r="A25" s="11" t="s">
        <v>126</v>
      </c>
      <c r="B25" s="17">
        <v>9966</v>
      </c>
      <c r="C25" s="17">
        <v>0</v>
      </c>
      <c r="D25" s="17">
        <v>10752</v>
      </c>
      <c r="E25" s="17">
        <v>10752</v>
      </c>
      <c r="F25" s="17">
        <v>11625</v>
      </c>
      <c r="G25" s="18">
        <f>IF(AND(F65&lt;&gt;0,11625&lt;&gt;0),IF(100*11625/(F65-0)&lt;0.005,"*",100*11625/(F65-0)),0)</f>
        <v>0.29554636416956048</v>
      </c>
    </row>
    <row r="26" spans="1:7" x14ac:dyDescent="0.2">
      <c r="A26" s="11" t="s">
        <v>127</v>
      </c>
      <c r="B26" s="17">
        <v>55671</v>
      </c>
      <c r="C26" s="17">
        <v>0</v>
      </c>
      <c r="D26" s="17">
        <v>60062</v>
      </c>
      <c r="E26" s="17">
        <v>60062</v>
      </c>
      <c r="F26" s="17">
        <v>64940</v>
      </c>
      <c r="G26" s="18">
        <f>IF(AND(F65&lt;&gt;0,64940&lt;&gt;0),IF(100*64940/(F65-0)&lt;0.005,"*",100*64940/(F65-0)),0)</f>
        <v>1.6509919044448393</v>
      </c>
    </row>
    <row r="27" spans="1:7" x14ac:dyDescent="0.2">
      <c r="A27" s="11" t="s">
        <v>128</v>
      </c>
      <c r="B27" s="17">
        <v>66083</v>
      </c>
      <c r="C27" s="17">
        <v>0</v>
      </c>
      <c r="D27" s="17">
        <v>71295</v>
      </c>
      <c r="E27" s="17">
        <v>71295</v>
      </c>
      <c r="F27" s="17">
        <v>77086</v>
      </c>
      <c r="G27" s="18">
        <f>IF(AND(F65&lt;&gt;0,77086&lt;&gt;0),IF(100*77086/(F65-0)&lt;0.005,"*",100*77086/(F65-0)),0)</f>
        <v>1.959783830397827</v>
      </c>
    </row>
    <row r="28" spans="1:7" x14ac:dyDescent="0.2">
      <c r="A28" s="11" t="s">
        <v>129</v>
      </c>
      <c r="B28" s="17">
        <v>69597</v>
      </c>
      <c r="C28" s="17">
        <v>0</v>
      </c>
      <c r="D28" s="17">
        <v>75086</v>
      </c>
      <c r="E28" s="17">
        <v>75086</v>
      </c>
      <c r="F28" s="17">
        <v>81185</v>
      </c>
      <c r="G28" s="18">
        <f>IF(AND(F65&lt;&gt;0,81185&lt;&gt;0),IF(100*81185/(F65-0)&lt;0.005,"*",100*81185/(F65-0)),0)</f>
        <v>2.0639941139875928</v>
      </c>
    </row>
    <row r="29" spans="1:7" x14ac:dyDescent="0.2">
      <c r="A29" s="11" t="s">
        <v>130</v>
      </c>
      <c r="B29" s="17">
        <v>65355</v>
      </c>
      <c r="C29" s="17">
        <v>0</v>
      </c>
      <c r="D29" s="17">
        <v>70510</v>
      </c>
      <c r="E29" s="17">
        <v>70510</v>
      </c>
      <c r="F29" s="17">
        <v>76237</v>
      </c>
      <c r="G29" s="18">
        <f>IF(AND(F65&lt;&gt;0,76237&lt;&gt;0),IF(100*76237/(F65-0)&lt;0.005,"*",100*76237/(F65-0)),0)</f>
        <v>1.9381994120597663</v>
      </c>
    </row>
    <row r="30" spans="1:7" x14ac:dyDescent="0.2">
      <c r="A30" s="11" t="s">
        <v>131</v>
      </c>
      <c r="B30" s="17">
        <v>46066</v>
      </c>
      <c r="C30" s="17">
        <v>0</v>
      </c>
      <c r="D30" s="17">
        <v>49699</v>
      </c>
      <c r="E30" s="17">
        <v>49699</v>
      </c>
      <c r="F30" s="17">
        <v>53736</v>
      </c>
      <c r="G30" s="18">
        <f>IF(AND(F65&lt;&gt;0,53736&lt;&gt;0),IF(100*53736/(F65-0)&lt;0.005,"*",100*53736/(F65-0)),0)</f>
        <v>1.3661487677432689</v>
      </c>
    </row>
    <row r="31" spans="1:7" x14ac:dyDescent="0.2">
      <c r="A31" s="11" t="s">
        <v>132</v>
      </c>
      <c r="B31" s="17">
        <v>51516</v>
      </c>
      <c r="C31" s="17">
        <v>0</v>
      </c>
      <c r="D31" s="17">
        <v>55579</v>
      </c>
      <c r="E31" s="17">
        <v>55579</v>
      </c>
      <c r="F31" s="17">
        <v>60093</v>
      </c>
      <c r="G31" s="18">
        <f>IF(AND(F65&lt;&gt;0,60093&lt;&gt;0),IF(100*60093/(F65-0)&lt;0.005,"*",100*60093/(F65-0)),0)</f>
        <v>1.527764960175604</v>
      </c>
    </row>
    <row r="32" spans="1:7" x14ac:dyDescent="0.2">
      <c r="A32" s="11" t="s">
        <v>133</v>
      </c>
      <c r="B32" s="17">
        <v>11013</v>
      </c>
      <c r="C32" s="17">
        <v>0</v>
      </c>
      <c r="D32" s="17">
        <v>11882</v>
      </c>
      <c r="E32" s="17">
        <v>11882</v>
      </c>
      <c r="F32" s="17">
        <v>12847</v>
      </c>
      <c r="G32" s="18">
        <f>IF(AND(F65&lt;&gt;0,12847&lt;&gt;0),IF(100*12847/(F65-0)&lt;0.005,"*",100*12847/(F65-0)),0)</f>
        <v>0.32661368950420161</v>
      </c>
    </row>
    <row r="33" spans="1:7" x14ac:dyDescent="0.2">
      <c r="A33" s="11" t="s">
        <v>134</v>
      </c>
      <c r="B33" s="17">
        <v>31787</v>
      </c>
      <c r="C33" s="17">
        <v>0</v>
      </c>
      <c r="D33" s="17">
        <v>34294</v>
      </c>
      <c r="E33" s="17">
        <v>34294</v>
      </c>
      <c r="F33" s="17">
        <v>37080</v>
      </c>
      <c r="G33" s="18">
        <f>IF(AND(F65&lt;&gt;0,37080&lt;&gt;0),IF(100*37080/(F65-0)&lt;0.005,"*",100*37080/(F65-0)),0)</f>
        <v>0.94269756416406902</v>
      </c>
    </row>
    <row r="34" spans="1:7" x14ac:dyDescent="0.2">
      <c r="A34" s="11" t="s">
        <v>135</v>
      </c>
      <c r="B34" s="17">
        <v>12651</v>
      </c>
      <c r="C34" s="17">
        <v>0</v>
      </c>
      <c r="D34" s="17">
        <v>13649</v>
      </c>
      <c r="E34" s="17">
        <v>13649</v>
      </c>
      <c r="F34" s="17">
        <v>14757</v>
      </c>
      <c r="G34" s="18">
        <f>IF(AND(F65&lt;&gt;0,14757&lt;&gt;0),IF(100*14757/(F65-0)&lt;0.005,"*",100*14757/(F65-0)),0)</f>
        <v>0.37517227492904981</v>
      </c>
    </row>
    <row r="35" spans="1:7" x14ac:dyDescent="0.2">
      <c r="A35" s="11" t="s">
        <v>136</v>
      </c>
      <c r="B35" s="17">
        <v>4778</v>
      </c>
      <c r="C35" s="17">
        <v>0</v>
      </c>
      <c r="D35" s="17">
        <v>5155</v>
      </c>
      <c r="E35" s="17">
        <v>5155</v>
      </c>
      <c r="F35" s="17">
        <v>5574</v>
      </c>
      <c r="G35" s="18">
        <f>IF(AND(F65&lt;&gt;0,5574&lt;&gt;0),IF(100*5574/(F65-0)&lt;0.005,"*",100*5574/(F65-0)),0)</f>
        <v>0.1417097147424628</v>
      </c>
    </row>
    <row r="36" spans="1:7" x14ac:dyDescent="0.2">
      <c r="A36" s="11" t="s">
        <v>137</v>
      </c>
      <c r="B36" s="17">
        <v>79788</v>
      </c>
      <c r="C36" s="17">
        <v>0</v>
      </c>
      <c r="D36" s="17">
        <v>86081</v>
      </c>
      <c r="E36" s="17">
        <v>86081</v>
      </c>
      <c r="F36" s="17">
        <v>93073</v>
      </c>
      <c r="G36" s="18">
        <f>IF(AND(F65&lt;&gt;0,93073&lt;&gt;0),IF(100*93073/(F65-0)&lt;0.005,"*",100*93073/(F65-0)),0)</f>
        <v>2.3662268174067531</v>
      </c>
    </row>
    <row r="37" spans="1:7" x14ac:dyDescent="0.2">
      <c r="A37" s="11" t="s">
        <v>138</v>
      </c>
      <c r="B37" s="17">
        <v>32722</v>
      </c>
      <c r="C37" s="17">
        <v>0</v>
      </c>
      <c r="D37" s="17">
        <v>35303</v>
      </c>
      <c r="E37" s="17">
        <v>35303</v>
      </c>
      <c r="F37" s="17">
        <v>38170</v>
      </c>
      <c r="G37" s="18">
        <f>IF(AND(F65&lt;&gt;0,38170&lt;&gt;0),IF(100*38170/(F65-0)&lt;0.005,"*",100*38170/(F65-0)),0)</f>
        <v>0.97040900820233322</v>
      </c>
    </row>
    <row r="38" spans="1:7" x14ac:dyDescent="0.2">
      <c r="A38" s="11" t="s">
        <v>139</v>
      </c>
      <c r="B38" s="17">
        <v>240347</v>
      </c>
      <c r="C38" s="17">
        <v>0</v>
      </c>
      <c r="D38" s="17">
        <v>259304</v>
      </c>
      <c r="E38" s="17">
        <v>259304</v>
      </c>
      <c r="F38" s="17">
        <v>280365</v>
      </c>
      <c r="G38" s="18">
        <f>IF(AND(F65&lt;&gt;0,280365&lt;&gt;0),IF(100*280365/(F65-0)&lt;0.005,"*",100*280365/(F65-0)),0)</f>
        <v>7.1278156034751676</v>
      </c>
    </row>
    <row r="39" spans="1:7" x14ac:dyDescent="0.2">
      <c r="A39" s="11" t="s">
        <v>140</v>
      </c>
      <c r="B39" s="17">
        <v>94741</v>
      </c>
      <c r="C39" s="17">
        <v>0</v>
      </c>
      <c r="D39" s="17">
        <v>102213</v>
      </c>
      <c r="E39" s="17">
        <v>102213</v>
      </c>
      <c r="F39" s="17">
        <v>110515</v>
      </c>
      <c r="G39" s="18">
        <f>IF(AND(F65&lt;&gt;0,110515&lt;&gt;0),IF(100*110515/(F65-0)&lt;0.005,"*",100*110515/(F65-0)),0)</f>
        <v>2.8096607687052884</v>
      </c>
    </row>
    <row r="40" spans="1:7" x14ac:dyDescent="0.2">
      <c r="A40" s="11" t="s">
        <v>141</v>
      </c>
      <c r="B40" s="17">
        <v>10369</v>
      </c>
      <c r="C40" s="17">
        <v>0</v>
      </c>
      <c r="D40" s="17">
        <v>11187</v>
      </c>
      <c r="E40" s="17">
        <v>11187</v>
      </c>
      <c r="F40" s="17">
        <v>12095</v>
      </c>
      <c r="G40" s="18">
        <f>IF(AND(F65&lt;&gt;0,12095&lt;&gt;0),IF(100*12095/(F65-0)&lt;0.005,"*",100*12095/(F65-0)),0)</f>
        <v>0.30749533545211477</v>
      </c>
    </row>
    <row r="41" spans="1:7" x14ac:dyDescent="0.2">
      <c r="A41" s="11" t="s">
        <v>142</v>
      </c>
      <c r="B41" s="17">
        <v>90350</v>
      </c>
      <c r="C41" s="17">
        <v>0</v>
      </c>
      <c r="D41" s="17">
        <v>97476</v>
      </c>
      <c r="E41" s="17">
        <v>97476</v>
      </c>
      <c r="F41" s="17">
        <v>105393</v>
      </c>
      <c r="G41" s="18">
        <f>IF(AND(F65&lt;&gt;0,105393&lt;&gt;0),IF(100*105393/(F65-0)&lt;0.005,"*",100*105393/(F65-0)),0)</f>
        <v>2.6794424050686012</v>
      </c>
    </row>
    <row r="42" spans="1:7" x14ac:dyDescent="0.2">
      <c r="A42" s="11" t="s">
        <v>143</v>
      </c>
      <c r="B42" s="17">
        <v>59490</v>
      </c>
      <c r="C42" s="17">
        <v>0</v>
      </c>
      <c r="D42" s="17">
        <v>64182</v>
      </c>
      <c r="E42" s="17">
        <v>64182</v>
      </c>
      <c r="F42" s="17">
        <v>69395</v>
      </c>
      <c r="G42" s="18">
        <f>IF(AND(F65&lt;&gt;0,69395&lt;&gt;0),IF(100*69395/(F65-0)&lt;0.005,"*",100*69395/(F65-0)),0)</f>
        <v>1.7642528981975611</v>
      </c>
    </row>
    <row r="43" spans="1:7" x14ac:dyDescent="0.2">
      <c r="A43" s="11" t="s">
        <v>144</v>
      </c>
      <c r="B43" s="17">
        <v>35075</v>
      </c>
      <c r="C43" s="17">
        <v>0</v>
      </c>
      <c r="D43" s="17">
        <v>37841</v>
      </c>
      <c r="E43" s="17">
        <v>37841</v>
      </c>
      <c r="F43" s="17">
        <v>40915</v>
      </c>
      <c r="G43" s="18">
        <f>IF(AND(F65&lt;&gt;0,40915&lt;&gt;0),IF(100*40915/(F65-0)&lt;0.005,"*",100*40915/(F65-0)),0)</f>
        <v>1.040196085161081</v>
      </c>
    </row>
    <row r="44" spans="1:7" x14ac:dyDescent="0.2">
      <c r="A44" s="11" t="s">
        <v>145</v>
      </c>
      <c r="B44" s="17">
        <v>118096</v>
      </c>
      <c r="C44" s="17">
        <v>0</v>
      </c>
      <c r="D44" s="17">
        <v>127410</v>
      </c>
      <c r="E44" s="17">
        <v>127410</v>
      </c>
      <c r="F44" s="17">
        <v>137759</v>
      </c>
      <c r="G44" s="18">
        <f>IF(AND(F65&lt;&gt;0,137759&lt;&gt;0),IF(100*137759/(F65-0)&lt;0.005,"*",100*137759/(F65-0)),0)</f>
        <v>3.5022943296029663</v>
      </c>
    </row>
    <row r="45" spans="1:7" x14ac:dyDescent="0.2">
      <c r="A45" s="11" t="s">
        <v>146</v>
      </c>
      <c r="B45" s="17">
        <v>9770</v>
      </c>
      <c r="C45" s="17">
        <v>0</v>
      </c>
      <c r="D45" s="17">
        <v>10541</v>
      </c>
      <c r="E45" s="17">
        <v>10541</v>
      </c>
      <c r="F45" s="17">
        <v>11397</v>
      </c>
      <c r="G45" s="18">
        <f>IF(AND(F65&lt;&gt;0,11397&lt;&gt;0),IF(100*11397/(F65-0)&lt;0.005,"*",100*11397/(F65-0)),0)</f>
        <v>0.28974984193036396</v>
      </c>
    </row>
    <row r="46" spans="1:7" x14ac:dyDescent="0.2">
      <c r="A46" s="11" t="s">
        <v>147</v>
      </c>
      <c r="B46" s="17">
        <v>35607</v>
      </c>
      <c r="C46" s="17">
        <v>0</v>
      </c>
      <c r="D46" s="17">
        <v>38415</v>
      </c>
      <c r="E46" s="17">
        <v>38415</v>
      </c>
      <c r="F46" s="17">
        <v>41536</v>
      </c>
      <c r="G46" s="18">
        <f>IF(AND(F65&lt;&gt;0,41536&lt;&gt;0),IF(100*41536/(F65-0)&lt;0.005,"*",100*41536/(F65-0)),0)</f>
        <v>1.0559839812599452</v>
      </c>
    </row>
    <row r="47" spans="1:7" x14ac:dyDescent="0.2">
      <c r="A47" s="11" t="s">
        <v>148</v>
      </c>
      <c r="B47" s="17">
        <v>8496</v>
      </c>
      <c r="C47" s="17">
        <v>0</v>
      </c>
      <c r="D47" s="17">
        <v>9166</v>
      </c>
      <c r="E47" s="17">
        <v>9166</v>
      </c>
      <c r="F47" s="17">
        <v>9911</v>
      </c>
      <c r="G47" s="18">
        <f>IF(AND(F65&lt;&gt;0,9911&lt;&gt;0),IF(100*9911/(F65-0)&lt;0.005,"*",100*9911/(F65-0)),0)</f>
        <v>0.25197075400296892</v>
      </c>
    </row>
    <row r="48" spans="1:7" x14ac:dyDescent="0.2">
      <c r="A48" s="11" t="s">
        <v>149</v>
      </c>
      <c r="B48" s="17">
        <v>65618</v>
      </c>
      <c r="C48" s="17">
        <v>0</v>
      </c>
      <c r="D48" s="17">
        <v>70793</v>
      </c>
      <c r="E48" s="17">
        <v>70793</v>
      </c>
      <c r="F48" s="17">
        <v>76543</v>
      </c>
      <c r="G48" s="18">
        <f>IF(AND(F65&lt;&gt;0,76543&lt;&gt;0),IF(100*76543/(F65-0)&lt;0.005,"*",100*76543/(F65-0)),0)</f>
        <v>1.9459789550650037</v>
      </c>
    </row>
    <row r="49" spans="1:7" x14ac:dyDescent="0.2">
      <c r="A49" s="11" t="s">
        <v>150</v>
      </c>
      <c r="B49" s="17">
        <v>377024</v>
      </c>
      <c r="C49" s="17">
        <v>0</v>
      </c>
      <c r="D49" s="17">
        <v>406760</v>
      </c>
      <c r="E49" s="17">
        <v>406760</v>
      </c>
      <c r="F49" s="17">
        <v>439798</v>
      </c>
      <c r="G49" s="18">
        <f>IF(AND(F65&lt;&gt;0,439798&lt;&gt;0),IF(100*439798/(F65-0)&lt;0.005,"*",100*439798/(F65-0)),0)</f>
        <v>11.181135472605966</v>
      </c>
    </row>
    <row r="50" spans="1:7" x14ac:dyDescent="0.2">
      <c r="A50" s="11" t="s">
        <v>151</v>
      </c>
      <c r="B50" s="17">
        <v>28090</v>
      </c>
      <c r="C50" s="17">
        <v>0</v>
      </c>
      <c r="D50" s="17">
        <v>30306</v>
      </c>
      <c r="E50" s="17">
        <v>30306</v>
      </c>
      <c r="F50" s="17">
        <v>32767</v>
      </c>
      <c r="G50" s="18">
        <f>IF(AND(F65&lt;&gt;0,32767&lt;&gt;0),IF(100*32767/(F65-0)&lt;0.005,"*",100*32767/(F65-0)),0)</f>
        <v>0.83304668513926783</v>
      </c>
    </row>
    <row r="51" spans="1:7" x14ac:dyDescent="0.2">
      <c r="A51" s="11" t="s">
        <v>152</v>
      </c>
      <c r="B51" s="17">
        <v>6630</v>
      </c>
      <c r="C51" s="17">
        <v>0</v>
      </c>
      <c r="D51" s="17">
        <v>7153</v>
      </c>
      <c r="E51" s="17">
        <v>7153</v>
      </c>
      <c r="F51" s="17">
        <v>7734</v>
      </c>
      <c r="G51" s="18">
        <f>IF(AND(F65&lt;&gt;0,7734&lt;&gt;0),IF(100*7734/(F65-0)&lt;0.005,"*",100*7734/(F65-0)),0)</f>
        <v>0.19662413595590372</v>
      </c>
    </row>
    <row r="52" spans="1:7" x14ac:dyDescent="0.2">
      <c r="A52" s="11" t="s">
        <v>153</v>
      </c>
      <c r="B52" s="17">
        <v>48767</v>
      </c>
      <c r="C52" s="17">
        <v>0</v>
      </c>
      <c r="D52" s="17">
        <v>52613</v>
      </c>
      <c r="E52" s="17">
        <v>52613</v>
      </c>
      <c r="F52" s="17">
        <v>56887</v>
      </c>
      <c r="G52" s="18">
        <f>IF(AND(F65&lt;&gt;0,56887&lt;&gt;0),IF(100*56887/(F65-0)&lt;0.005,"*",100*56887/(F65-0)),0)</f>
        <v>1.4462577220226913</v>
      </c>
    </row>
    <row r="53" spans="1:7" x14ac:dyDescent="0.2">
      <c r="A53" s="11" t="s">
        <v>154</v>
      </c>
      <c r="B53" s="17">
        <v>47725</v>
      </c>
      <c r="C53" s="17">
        <v>0</v>
      </c>
      <c r="D53" s="17">
        <v>51489</v>
      </c>
      <c r="E53" s="17">
        <v>51489</v>
      </c>
      <c r="F53" s="17">
        <v>55671</v>
      </c>
      <c r="G53" s="18">
        <f>IF(AND(F65&lt;&gt;0,55671&lt;&gt;0),IF(100*55671/(F65-0)&lt;0.005,"*",100*55671/(F65-0)),0)</f>
        <v>1.4153429367469765</v>
      </c>
    </row>
    <row r="54" spans="1:7" x14ac:dyDescent="0.2">
      <c r="A54" s="11" t="s">
        <v>155</v>
      </c>
      <c r="B54" s="17">
        <v>16971</v>
      </c>
      <c r="C54" s="17">
        <v>0</v>
      </c>
      <c r="D54" s="17">
        <v>18310</v>
      </c>
      <c r="E54" s="17">
        <v>18310</v>
      </c>
      <c r="F54" s="17">
        <v>19797</v>
      </c>
      <c r="G54" s="18">
        <f>IF(AND(F65&lt;&gt;0,19797&lt;&gt;0),IF(100*19797/(F65-0)&lt;0.005,"*",100*19797/(F65-0)),0)</f>
        <v>0.50330592442707855</v>
      </c>
    </row>
    <row r="55" spans="1:7" x14ac:dyDescent="0.2">
      <c r="A55" s="11" t="s">
        <v>156</v>
      </c>
      <c r="B55" s="17">
        <v>36868</v>
      </c>
      <c r="C55" s="17">
        <v>0</v>
      </c>
      <c r="D55" s="17">
        <v>39776</v>
      </c>
      <c r="E55" s="17">
        <v>39776</v>
      </c>
      <c r="F55" s="17">
        <v>43007</v>
      </c>
      <c r="G55" s="18">
        <f>IF(AND(F65&lt;&gt;0,43007&lt;&gt;0),IF(100*43007/(F65-0)&lt;0.005,"*",100*43007/(F65-0)),0)</f>
        <v>1.0933817190400248</v>
      </c>
    </row>
    <row r="56" spans="1:7" x14ac:dyDescent="0.2">
      <c r="A56" s="11" t="s">
        <v>157</v>
      </c>
      <c r="B56" s="17">
        <v>4732</v>
      </c>
      <c r="C56" s="17">
        <v>0</v>
      </c>
      <c r="D56" s="17">
        <v>5105</v>
      </c>
      <c r="E56" s="17">
        <v>5105</v>
      </c>
      <c r="F56" s="17">
        <v>5520</v>
      </c>
      <c r="G56" s="18">
        <f>IF(AND(F65&lt;&gt;0,5520&lt;&gt;0),IF(100*5520/(F65-0)&lt;0.005,"*",100*5520/(F65-0)),0)</f>
        <v>0.14033685421212677</v>
      </c>
    </row>
    <row r="57" spans="1:7" x14ac:dyDescent="0.2">
      <c r="A57" s="11" t="s">
        <v>158</v>
      </c>
      <c r="B57" s="17">
        <v>0</v>
      </c>
      <c r="C57" s="17">
        <v>0</v>
      </c>
      <c r="D57" s="17">
        <v>0</v>
      </c>
      <c r="E57" s="17">
        <v>0</v>
      </c>
      <c r="F57" s="17">
        <v>0</v>
      </c>
      <c r="G57" s="18">
        <f>IF(AND(F65&lt;&gt;0,0&lt;&gt;0),IF(100*0/(F65-0)&lt;0.005,"*",100*0/(F65-0)),0)</f>
        <v>0</v>
      </c>
    </row>
    <row r="58" spans="1:7" x14ac:dyDescent="0.2">
      <c r="A58" s="11" t="s">
        <v>159</v>
      </c>
      <c r="B58" s="17">
        <v>416</v>
      </c>
      <c r="C58" s="17">
        <v>0</v>
      </c>
      <c r="D58" s="17">
        <v>449</v>
      </c>
      <c r="E58" s="17">
        <v>449</v>
      </c>
      <c r="F58" s="17">
        <v>485</v>
      </c>
      <c r="G58" s="18">
        <f>IF(AND(F65&lt;&gt;0,485&lt;&gt;0),IF(100*485/(F65-0)&lt;0.005,"*",100*485/(F65-0)),0)</f>
        <v>1.2330321429869834E-2</v>
      </c>
    </row>
    <row r="59" spans="1:7" x14ac:dyDescent="0.2">
      <c r="A59" s="11" t="s">
        <v>160</v>
      </c>
      <c r="B59" s="17">
        <v>0</v>
      </c>
      <c r="C59" s="17">
        <v>0</v>
      </c>
      <c r="D59" s="17">
        <v>0</v>
      </c>
      <c r="E59" s="17">
        <v>0</v>
      </c>
      <c r="F59" s="17">
        <v>0</v>
      </c>
      <c r="G59" s="18">
        <f>IF(AND(F65&lt;&gt;0,0&lt;&gt;0),IF(100*0/(F65-0)&lt;0.005,"*",100*0/(F65-0)),0)</f>
        <v>0</v>
      </c>
    </row>
    <row r="60" spans="1:7" x14ac:dyDescent="0.2">
      <c r="A60" s="11" t="s">
        <v>161</v>
      </c>
      <c r="B60" s="17">
        <v>24943</v>
      </c>
      <c r="C60" s="17">
        <v>0</v>
      </c>
      <c r="D60" s="17">
        <v>26910</v>
      </c>
      <c r="E60" s="17">
        <v>26910</v>
      </c>
      <c r="F60" s="17">
        <v>29096</v>
      </c>
      <c r="G60" s="18">
        <f>IF(AND(F65&lt;&gt;0,29096&lt;&gt;0),IF(100*29096/(F65-0)&lt;0.005,"*",100*29096/(F65-0)),0)</f>
        <v>0.73971759241957258</v>
      </c>
    </row>
    <row r="61" spans="1:7" x14ac:dyDescent="0.2">
      <c r="A61" s="11" t="s">
        <v>162</v>
      </c>
      <c r="B61" s="17">
        <v>0</v>
      </c>
      <c r="C61" s="17">
        <v>0</v>
      </c>
      <c r="D61" s="17">
        <v>0</v>
      </c>
      <c r="E61" s="17">
        <v>0</v>
      </c>
      <c r="F61" s="17">
        <v>0</v>
      </c>
      <c r="G61" s="18">
        <f>IF(AND(F65&lt;&gt;0,0&lt;&gt;0),IF(100*0/(F65-0)&lt;0.005,"*",100*0/(F65-0)),0)</f>
        <v>0</v>
      </c>
    </row>
    <row r="62" spans="1:7" x14ac:dyDescent="0.2">
      <c r="A62" s="11" t="s">
        <v>163</v>
      </c>
      <c r="B62" s="17">
        <v>1480</v>
      </c>
      <c r="C62" s="17">
        <v>0</v>
      </c>
      <c r="D62" s="17">
        <v>1597</v>
      </c>
      <c r="E62" s="17">
        <v>1597</v>
      </c>
      <c r="F62" s="17">
        <v>1726</v>
      </c>
      <c r="G62" s="18">
        <f>IF(AND(F65&lt;&gt;0,1726&lt;&gt;0),IF(100*1726/(F65-0)&lt;0.005,"*",100*1726/(F65-0)),0)</f>
        <v>4.3880690284443989E-2</v>
      </c>
    </row>
    <row r="63" spans="1:7" x14ac:dyDescent="0.2">
      <c r="A63" s="11" t="s">
        <v>164</v>
      </c>
      <c r="B63" s="17">
        <v>0</v>
      </c>
      <c r="C63" s="17">
        <v>0</v>
      </c>
      <c r="D63" s="17">
        <v>0</v>
      </c>
      <c r="E63" s="17">
        <v>0</v>
      </c>
      <c r="F63" s="17">
        <v>0</v>
      </c>
      <c r="G63" s="18">
        <f>IF(AND(F65&lt;&gt;0,0&lt;&gt;0),IF(100*0/(F65-0)&lt;0.005,"*",100*0/(F65-0)),0)</f>
        <v>0</v>
      </c>
    </row>
    <row r="64" spans="1:7" x14ac:dyDescent="0.2">
      <c r="A64" s="11" t="s">
        <v>165</v>
      </c>
      <c r="B64" s="17">
        <v>275089</v>
      </c>
      <c r="C64" s="17">
        <v>0</v>
      </c>
      <c r="D64" s="17">
        <v>0</v>
      </c>
      <c r="E64" s="17">
        <v>0</v>
      </c>
      <c r="F64" s="17">
        <v>0</v>
      </c>
      <c r="G64" s="18">
        <v>0</v>
      </c>
    </row>
    <row r="65" spans="1:7" ht="15" customHeight="1" x14ac:dyDescent="0.2">
      <c r="A65" s="19" t="s">
        <v>106</v>
      </c>
      <c r="B65" s="20">
        <f>53471+9359+49935+56151+444875+26285+17833+17187+9999+254988+116416+7032+7766+145355+59147+27563+32494+39658+97851+9966+55671+66083+69597+65355+46066+51516+11013+31787+12651+4778+79788+32722+240347+94741+10369+90350+59490+35075+118096+9770+35607+8496+65618+377024+28090+6630+48767+47725+16971+36868+4732+0+416+0+24943+0+1480+0+275089+0</f>
        <v>3647052</v>
      </c>
      <c r="C65" s="20">
        <f>0+0+0+0+0+0+0+0+0+0+0+0+0+0+0+0+0+0+0+0+0+0+0+0+0+0+0+0+0+0+0+0+0+0+0+0+0+0+0+0+0+0+0+0+0+0+0+0+0+0+0+0+0+0+0+0+0+0+0+0</f>
        <v>0</v>
      </c>
      <c r="D65" s="20">
        <f>57688+10097+53873+60580+479963+28358+19240+18543+10788+275099+125598+7587+8379+156819+63812+29737+35057+42786+105569+10752+60062+71295+75086+70510+49699+55579+11882+34294+13649+5155+86081+35303+259304+102213+11187+97476+64182+37841+127410+10541+38415+9166+70793+406760+30306+7153+52613+51489+18310+39776+5105+0+449+0+26910+0+1597+0+0+0</f>
        <v>3637916</v>
      </c>
      <c r="E65" s="20">
        <f>SUM(C65:D65)</f>
        <v>3637916</v>
      </c>
      <c r="F65" s="20">
        <f>62374+10917+58249+65500+518946+30661+20802+20049+11664+297443+135799+8203+9059+169557+68995+32152+37904+46261+114143+11625+64940+77086+81185+76237+53736+60093+12847+37080+14757+5574+93073+38170+280365+110515+12095+105393+69395+40915+137759+11397+41536+9911+76543+439798+32767+7734+56887+55671+19797+43007+5520+0+485+0+29096+0+1726+0+0+0</f>
        <v>3933393</v>
      </c>
      <c r="G65" s="21" t="s">
        <v>166</v>
      </c>
    </row>
    <row r="66" spans="1:7" ht="15" customHeight="1" x14ac:dyDescent="0.2">
      <c r="A66" s="65" t="s">
        <v>168</v>
      </c>
      <c r="B66" s="65"/>
      <c r="C66" s="65"/>
      <c r="D66" s="65"/>
      <c r="E66" s="65"/>
      <c r="F66" s="65"/>
      <c r="G66" s="65"/>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2" t="s">
        <v>95</v>
      </c>
      <c r="B1" s="10"/>
      <c r="C1" s="10"/>
      <c r="D1" s="10"/>
      <c r="E1" s="10"/>
      <c r="F1" s="10"/>
      <c r="G1" s="12" t="s">
        <v>173</v>
      </c>
    </row>
    <row r="2" spans="1:7" x14ac:dyDescent="0.2">
      <c r="A2" s="13" t="s">
        <v>174</v>
      </c>
      <c r="B2" s="14"/>
      <c r="C2" s="14"/>
      <c r="D2" s="14"/>
      <c r="E2" s="14"/>
      <c r="F2" s="14"/>
      <c r="G2" s="14"/>
    </row>
    <row r="3" spans="1:7" x14ac:dyDescent="0.2">
      <c r="A3" s="14" t="s">
        <v>98</v>
      </c>
      <c r="B3" s="14"/>
      <c r="C3" s="14"/>
      <c r="D3" s="14"/>
      <c r="E3" s="14"/>
      <c r="F3" s="14"/>
      <c r="G3" s="14"/>
    </row>
    <row r="4" spans="1:7" x14ac:dyDescent="0.2">
      <c r="A4" s="66" t="s">
        <v>99</v>
      </c>
      <c r="B4" s="68" t="s">
        <v>100</v>
      </c>
      <c r="C4" s="16" t="s">
        <v>101</v>
      </c>
      <c r="D4" s="16"/>
      <c r="E4" s="16"/>
      <c r="F4" s="68" t="s">
        <v>102</v>
      </c>
      <c r="G4" s="70" t="s">
        <v>103</v>
      </c>
    </row>
    <row r="5" spans="1:7" ht="25.5" customHeight="1" x14ac:dyDescent="0.2">
      <c r="A5" s="67"/>
      <c r="B5" s="69"/>
      <c r="C5" s="15" t="s">
        <v>104</v>
      </c>
      <c r="D5" s="15" t="s">
        <v>105</v>
      </c>
      <c r="E5" s="15" t="s">
        <v>106</v>
      </c>
      <c r="F5" s="69"/>
      <c r="G5" s="71"/>
    </row>
    <row r="6" spans="1:7" x14ac:dyDescent="0.2">
      <c r="A6" s="11" t="s">
        <v>107</v>
      </c>
      <c r="B6" s="17">
        <v>50031</v>
      </c>
      <c r="C6" s="17">
        <v>695</v>
      </c>
      <c r="D6" s="17">
        <v>64884</v>
      </c>
      <c r="E6" s="17">
        <v>65579</v>
      </c>
      <c r="F6" s="17">
        <v>61459</v>
      </c>
      <c r="G6" s="18">
        <f>IF(AND(F65&lt;&gt;0,61459&lt;&gt;0),IF(100*61459/(F65-0)&lt;0.005,"*",100*61459/(F65-0)),0)</f>
        <v>1.2186822709183096</v>
      </c>
    </row>
    <row r="7" spans="1:7" x14ac:dyDescent="0.2">
      <c r="A7" s="11" t="s">
        <v>108</v>
      </c>
      <c r="B7" s="17">
        <v>10336</v>
      </c>
      <c r="C7" s="17">
        <v>143</v>
      </c>
      <c r="D7" s="17">
        <v>13405</v>
      </c>
      <c r="E7" s="17">
        <v>13548</v>
      </c>
      <c r="F7" s="17">
        <v>12697</v>
      </c>
      <c r="G7" s="18">
        <f>IF(AND(F65&lt;&gt;0,12697&lt;&gt;0),IF(100*12697/(F65-0)&lt;0.005,"*",100*12697/(F65-0)),0)</f>
        <v>0.25177124251695893</v>
      </c>
    </row>
    <row r="8" spans="1:7" x14ac:dyDescent="0.2">
      <c r="A8" s="11" t="s">
        <v>109</v>
      </c>
      <c r="B8" s="17">
        <v>68860</v>
      </c>
      <c r="C8" s="17">
        <v>956</v>
      </c>
      <c r="D8" s="17">
        <v>89303</v>
      </c>
      <c r="E8" s="17">
        <v>90259</v>
      </c>
      <c r="F8" s="17">
        <v>84589</v>
      </c>
      <c r="G8" s="18">
        <f>IF(AND(F65&lt;&gt;0,84589&lt;&gt;0),IF(100*84589/(F65-0)&lt;0.005,"*",100*84589/(F65-0)),0)</f>
        <v>1.6773314667454546</v>
      </c>
    </row>
    <row r="9" spans="1:7" x14ac:dyDescent="0.2">
      <c r="A9" s="11" t="s">
        <v>110</v>
      </c>
      <c r="B9" s="17">
        <v>29783</v>
      </c>
      <c r="C9" s="17">
        <v>413</v>
      </c>
      <c r="D9" s="17">
        <v>38625</v>
      </c>
      <c r="E9" s="17">
        <v>39038</v>
      </c>
      <c r="F9" s="17">
        <v>36586</v>
      </c>
      <c r="G9" s="18">
        <f>IF(AND(F65&lt;&gt;0,36586&lt;&gt;0),IF(100*36586/(F65-0)&lt;0.005,"*",100*36586/(F65-0)),0)</f>
        <v>0.72547079457552643</v>
      </c>
    </row>
    <row r="10" spans="1:7" x14ac:dyDescent="0.2">
      <c r="A10" s="11" t="s">
        <v>111</v>
      </c>
      <c r="B10" s="17">
        <v>961583</v>
      </c>
      <c r="C10" s="17">
        <v>13350</v>
      </c>
      <c r="D10" s="17">
        <v>1247056</v>
      </c>
      <c r="E10" s="17">
        <v>1260406</v>
      </c>
      <c r="F10" s="17">
        <v>1181224</v>
      </c>
      <c r="G10" s="18">
        <f>IF(AND(F65&lt;&gt;0,1181224&lt;&gt;0),IF(100*1181224/(F65-0)&lt;0.005,"*",100*1181224/(F65-0)),0)</f>
        <v>23.422716718189516</v>
      </c>
    </row>
    <row r="11" spans="1:7" x14ac:dyDescent="0.2">
      <c r="A11" s="11" t="s">
        <v>112</v>
      </c>
      <c r="B11" s="17">
        <v>46988</v>
      </c>
      <c r="C11" s="17">
        <v>652</v>
      </c>
      <c r="D11" s="17">
        <v>60938</v>
      </c>
      <c r="E11" s="17">
        <v>61590</v>
      </c>
      <c r="F11" s="17">
        <v>57721</v>
      </c>
      <c r="G11" s="18">
        <f>IF(AND(F65&lt;&gt;0,57721&lt;&gt;0),IF(100*57721/(F65-0)&lt;0.005,"*",100*57721/(F65-0)),0)</f>
        <v>1.1445607536679048</v>
      </c>
    </row>
    <row r="12" spans="1:7" x14ac:dyDescent="0.2">
      <c r="A12" s="11" t="s">
        <v>113</v>
      </c>
      <c r="B12" s="17">
        <v>53206</v>
      </c>
      <c r="C12" s="17">
        <v>739</v>
      </c>
      <c r="D12" s="17">
        <v>69002</v>
      </c>
      <c r="E12" s="17">
        <v>69741</v>
      </c>
      <c r="F12" s="17">
        <v>65359</v>
      </c>
      <c r="G12" s="18">
        <f>IF(AND(F65&lt;&gt;0,65359&lt;&gt;0),IF(100*65359/(F65-0)&lt;0.005,"*",100*65359/(F65-0)),0)</f>
        <v>1.2960161171667259</v>
      </c>
    </row>
    <row r="13" spans="1:7" x14ac:dyDescent="0.2">
      <c r="A13" s="11" t="s">
        <v>114</v>
      </c>
      <c r="B13" s="17">
        <v>12757</v>
      </c>
      <c r="C13" s="17">
        <v>177</v>
      </c>
      <c r="D13" s="17">
        <v>16544</v>
      </c>
      <c r="E13" s="17">
        <v>16721</v>
      </c>
      <c r="F13" s="17">
        <v>15671</v>
      </c>
      <c r="G13" s="18">
        <f>IF(AND(F65&lt;&gt;0,15671&lt;&gt;0),IF(100*15671/(F65-0)&lt;0.005,"*",100*15671/(F65-0)),0)</f>
        <v>0.31074325757921267</v>
      </c>
    </row>
    <row r="14" spans="1:7" x14ac:dyDescent="0.2">
      <c r="A14" s="11" t="s">
        <v>115</v>
      </c>
      <c r="B14" s="17">
        <v>23137</v>
      </c>
      <c r="C14" s="17">
        <v>321</v>
      </c>
      <c r="D14" s="17">
        <v>30006</v>
      </c>
      <c r="E14" s="17">
        <v>30327</v>
      </c>
      <c r="F14" s="17">
        <v>28422</v>
      </c>
      <c r="G14" s="18">
        <f>IF(AND(F65&lt;&gt;0,28422&lt;&gt;0),IF(100*28422/(F65-0)&lt;0.005,"*",100*28422/(F65-0)),0)</f>
        <v>0.56358527642884193</v>
      </c>
    </row>
    <row r="15" spans="1:7" x14ac:dyDescent="0.2">
      <c r="A15" s="11" t="s">
        <v>116</v>
      </c>
      <c r="B15" s="17">
        <v>84647</v>
      </c>
      <c r="C15" s="17">
        <v>1175</v>
      </c>
      <c r="D15" s="17">
        <v>109777</v>
      </c>
      <c r="E15" s="17">
        <v>110952</v>
      </c>
      <c r="F15" s="17">
        <v>103982</v>
      </c>
      <c r="G15" s="18">
        <f>IF(AND(F65&lt;&gt;0,103982&lt;&gt;0),IF(100*103982/(F65-0)&lt;0.005,"*",100*103982/(F65-0)),0)</f>
        <v>2.0618789745135402</v>
      </c>
    </row>
    <row r="16" spans="1:7" x14ac:dyDescent="0.2">
      <c r="A16" s="11" t="s">
        <v>117</v>
      </c>
      <c r="B16" s="17">
        <v>95631</v>
      </c>
      <c r="C16" s="17">
        <v>1328</v>
      </c>
      <c r="D16" s="17">
        <v>124022</v>
      </c>
      <c r="E16" s="17">
        <v>125350</v>
      </c>
      <c r="F16" s="17">
        <v>117475</v>
      </c>
      <c r="G16" s="18">
        <f>IF(AND(F65&lt;&gt;0,117475&lt;&gt;0),IF(100*117475/(F65-0)&lt;0.005,"*",100*117475/(F65-0)),0)</f>
        <v>2.3294342533417143</v>
      </c>
    </row>
    <row r="17" spans="1:7" x14ac:dyDescent="0.2">
      <c r="A17" s="11" t="s">
        <v>118</v>
      </c>
      <c r="B17" s="17">
        <v>22336</v>
      </c>
      <c r="C17" s="17">
        <v>310</v>
      </c>
      <c r="D17" s="17">
        <v>28967</v>
      </c>
      <c r="E17" s="17">
        <v>29277</v>
      </c>
      <c r="F17" s="17">
        <v>27438</v>
      </c>
      <c r="G17" s="18">
        <f>IF(AND(F65&lt;&gt;0,27438&lt;&gt;0),IF(100*27438/(F65-0)&lt;0.005,"*",100*27438/(F65-0)),0)</f>
        <v>0.54407335214462615</v>
      </c>
    </row>
    <row r="18" spans="1:7" x14ac:dyDescent="0.2">
      <c r="A18" s="11" t="s">
        <v>119</v>
      </c>
      <c r="B18" s="17">
        <v>9254</v>
      </c>
      <c r="C18" s="17">
        <v>128</v>
      </c>
      <c r="D18" s="17">
        <v>12001</v>
      </c>
      <c r="E18" s="17">
        <v>12129</v>
      </c>
      <c r="F18" s="17">
        <v>11368</v>
      </c>
      <c r="G18" s="18">
        <f>IF(AND(F65&lt;&gt;0,11368&lt;&gt;0),IF(100*11368/(F65-0)&lt;0.005,"*",100*11368/(F65-0)),0)</f>
        <v>0.22541824721846018</v>
      </c>
    </row>
    <row r="19" spans="1:7" x14ac:dyDescent="0.2">
      <c r="A19" s="11" t="s">
        <v>120</v>
      </c>
      <c r="B19" s="17">
        <v>112759</v>
      </c>
      <c r="C19" s="17">
        <v>1565</v>
      </c>
      <c r="D19" s="17">
        <v>146235</v>
      </c>
      <c r="E19" s="17">
        <v>147800</v>
      </c>
      <c r="F19" s="17">
        <v>138515</v>
      </c>
      <c r="G19" s="18">
        <f>IF(AND(F65&lt;&gt;0,138515&lt;&gt;0),IF(100*138515/(F65-0)&lt;0.005,"*",100*138515/(F65-0)),0)</f>
        <v>2.7466404392562467</v>
      </c>
    </row>
    <row r="20" spans="1:7" x14ac:dyDescent="0.2">
      <c r="A20" s="11" t="s">
        <v>121</v>
      </c>
      <c r="B20" s="17">
        <v>56902</v>
      </c>
      <c r="C20" s="17">
        <v>790</v>
      </c>
      <c r="D20" s="17">
        <v>73795</v>
      </c>
      <c r="E20" s="17">
        <v>74585</v>
      </c>
      <c r="F20" s="17">
        <v>69899</v>
      </c>
      <c r="G20" s="18">
        <f>IF(AND(F65&lt;&gt;0,69899&lt;&gt;0),IF(100*69899/(F65-0)&lt;0.005,"*",100*69899/(F65-0)),0)</f>
        <v>1.3860406458764205</v>
      </c>
    </row>
    <row r="21" spans="1:7" x14ac:dyDescent="0.2">
      <c r="A21" s="11" t="s">
        <v>122</v>
      </c>
      <c r="B21" s="17">
        <v>22216</v>
      </c>
      <c r="C21" s="17">
        <v>308</v>
      </c>
      <c r="D21" s="17">
        <v>28811</v>
      </c>
      <c r="E21" s="17">
        <v>29119</v>
      </c>
      <c r="F21" s="17">
        <v>27290</v>
      </c>
      <c r="G21" s="18">
        <f>IF(AND(F65&lt;&gt;0,27290&lt;&gt;0),IF(100*27290/(F65-0)&lt;0.005,"*",100*27290/(F65-0)),0)</f>
        <v>0.54113863182545552</v>
      </c>
    </row>
    <row r="22" spans="1:7" x14ac:dyDescent="0.2">
      <c r="A22" s="11" t="s">
        <v>123</v>
      </c>
      <c r="B22" s="17">
        <v>21775</v>
      </c>
      <c r="C22" s="17">
        <v>302</v>
      </c>
      <c r="D22" s="17">
        <v>28240</v>
      </c>
      <c r="E22" s="17">
        <v>28542</v>
      </c>
      <c r="F22" s="17">
        <v>26749</v>
      </c>
      <c r="G22" s="18">
        <f>IF(AND(F65&lt;&gt;0,26749&lt;&gt;0),IF(100*26749/(F65-0)&lt;0.005,"*",100*26749/(F65-0)),0)</f>
        <v>0.53041103930740596</v>
      </c>
    </row>
    <row r="23" spans="1:7" x14ac:dyDescent="0.2">
      <c r="A23" s="11" t="s">
        <v>124</v>
      </c>
      <c r="B23" s="17">
        <v>60743</v>
      </c>
      <c r="C23" s="17">
        <v>843</v>
      </c>
      <c r="D23" s="17">
        <v>78776</v>
      </c>
      <c r="E23" s="17">
        <v>79619</v>
      </c>
      <c r="F23" s="17">
        <v>74618</v>
      </c>
      <c r="G23" s="18">
        <f>IF(AND(F65&lt;&gt;0,74618&lt;&gt;0),IF(100*74618/(F65-0)&lt;0.005,"*",100*74618/(F65-0)),0)</f>
        <v>1.4796145998370041</v>
      </c>
    </row>
    <row r="24" spans="1:7" x14ac:dyDescent="0.2">
      <c r="A24" s="11" t="s">
        <v>125</v>
      </c>
      <c r="B24" s="17">
        <v>62912</v>
      </c>
      <c r="C24" s="17">
        <v>873</v>
      </c>
      <c r="D24" s="17">
        <v>81589</v>
      </c>
      <c r="E24" s="17">
        <v>82462</v>
      </c>
      <c r="F24" s="17">
        <v>77282</v>
      </c>
      <c r="G24" s="18">
        <f>IF(AND(F65&lt;&gt;0,77282&lt;&gt;0),IF(100*77282/(F65-0)&lt;0.005,"*",100*77282/(F65-0)),0)</f>
        <v>1.5324395655820759</v>
      </c>
    </row>
    <row r="25" spans="1:7" x14ac:dyDescent="0.2">
      <c r="A25" s="11" t="s">
        <v>126</v>
      </c>
      <c r="B25" s="17">
        <v>16006</v>
      </c>
      <c r="C25" s="17">
        <v>222</v>
      </c>
      <c r="D25" s="17">
        <v>20758</v>
      </c>
      <c r="E25" s="17">
        <v>20980</v>
      </c>
      <c r="F25" s="17">
        <v>19662</v>
      </c>
      <c r="G25" s="18">
        <f>IF(AND(F65&lt;&gt;0,19662&lt;&gt;0),IF(100*19662/(F65-0)&lt;0.005,"*",100*19662/(F65-0)),0)</f>
        <v>0.38988156024009185</v>
      </c>
    </row>
    <row r="26" spans="1:7" x14ac:dyDescent="0.2">
      <c r="A26" s="11" t="s">
        <v>127</v>
      </c>
      <c r="B26" s="17">
        <v>70425</v>
      </c>
      <c r="C26" s="17">
        <v>978</v>
      </c>
      <c r="D26" s="17">
        <v>91333</v>
      </c>
      <c r="E26" s="17">
        <v>92311</v>
      </c>
      <c r="F26" s="17">
        <v>86511</v>
      </c>
      <c r="G26" s="18">
        <f>IF(AND(F65&lt;&gt;0,86511&lt;&gt;0),IF(100*86511/(F65-0)&lt;0.005,"*",100*86511/(F65-0)),0)</f>
        <v>1.7154431725119819</v>
      </c>
    </row>
    <row r="27" spans="1:7" x14ac:dyDescent="0.2">
      <c r="A27" s="11" t="s">
        <v>128</v>
      </c>
      <c r="B27" s="17">
        <v>64954</v>
      </c>
      <c r="C27" s="17">
        <v>902</v>
      </c>
      <c r="D27" s="17">
        <v>84237</v>
      </c>
      <c r="E27" s="17">
        <v>85139</v>
      </c>
      <c r="F27" s="17">
        <v>79791</v>
      </c>
      <c r="G27" s="18">
        <f>IF(AND(F65&lt;&gt;0,79791&lt;&gt;0),IF(100*79791/(F65-0)&lt;0.005,"*",100*79791/(F65-0)),0)</f>
        <v>1.5821910066685569</v>
      </c>
    </row>
    <row r="28" spans="1:7" x14ac:dyDescent="0.2">
      <c r="A28" s="11" t="s">
        <v>129</v>
      </c>
      <c r="B28" s="17">
        <v>143834</v>
      </c>
      <c r="C28" s="17">
        <v>1997</v>
      </c>
      <c r="D28" s="17">
        <v>186535</v>
      </c>
      <c r="E28" s="17">
        <v>188532</v>
      </c>
      <c r="F28" s="17">
        <v>176688</v>
      </c>
      <c r="G28" s="18">
        <f>IF(AND(F65&lt;&gt;0,176688&lt;&gt;0),IF(100*176688/(F65-0)&lt;0.005,"*",100*176688/(F65-0)),0)</f>
        <v>3.5035801604974748</v>
      </c>
    </row>
    <row r="29" spans="1:7" x14ac:dyDescent="0.2">
      <c r="A29" s="11" t="s">
        <v>130</v>
      </c>
      <c r="B29" s="17">
        <v>68524</v>
      </c>
      <c r="C29" s="17">
        <v>951</v>
      </c>
      <c r="D29" s="17">
        <v>88867</v>
      </c>
      <c r="E29" s="17">
        <v>89818</v>
      </c>
      <c r="F29" s="17">
        <v>84176</v>
      </c>
      <c r="G29" s="18">
        <f>IF(AND(F65&lt;&gt;0,84176&lt;&gt;0),IF(100*84176/(F65-0)&lt;0.005,"*",100*84176/(F65-0)),0)</f>
        <v>1.6691420107196608</v>
      </c>
    </row>
    <row r="30" spans="1:7" x14ac:dyDescent="0.2">
      <c r="A30" s="11" t="s">
        <v>131</v>
      </c>
      <c r="B30" s="17">
        <v>30526</v>
      </c>
      <c r="C30" s="17">
        <v>424</v>
      </c>
      <c r="D30" s="17">
        <v>39588</v>
      </c>
      <c r="E30" s="17">
        <v>40012</v>
      </c>
      <c r="F30" s="17">
        <v>37499</v>
      </c>
      <c r="G30" s="18">
        <f>IF(AND(F65&lt;&gt;0,37499&lt;&gt;0),IF(100*37499/(F65-0)&lt;0.005,"*",100*37499/(F65-0)),0)</f>
        <v>0.74357484627419412</v>
      </c>
    </row>
    <row r="31" spans="1:7" x14ac:dyDescent="0.2">
      <c r="A31" s="11" t="s">
        <v>132</v>
      </c>
      <c r="B31" s="17">
        <v>48582</v>
      </c>
      <c r="C31" s="17">
        <v>674</v>
      </c>
      <c r="D31" s="17">
        <v>63005</v>
      </c>
      <c r="E31" s="17">
        <v>63679</v>
      </c>
      <c r="F31" s="17">
        <v>59679</v>
      </c>
      <c r="G31" s="18">
        <f>IF(AND(F65&lt;&gt;0,59679&lt;&gt;0),IF(100*59679/(F65-0)&lt;0.005,"*",100*59679/(F65-0)),0)</f>
        <v>1.1833863103228788</v>
      </c>
    </row>
    <row r="32" spans="1:7" x14ac:dyDescent="0.2">
      <c r="A32" s="11" t="s">
        <v>133</v>
      </c>
      <c r="B32" s="17">
        <v>10605</v>
      </c>
      <c r="C32" s="17">
        <v>147</v>
      </c>
      <c r="D32" s="17">
        <v>13753</v>
      </c>
      <c r="E32" s="17">
        <v>13900</v>
      </c>
      <c r="F32" s="17">
        <v>13027</v>
      </c>
      <c r="G32" s="18">
        <f>IF(AND(F65&lt;&gt;0,13027&lt;&gt;0),IF(100*13027/(F65-0)&lt;0.005,"*",100*13027/(F65-0)),0)</f>
        <v>0.25831487566105565</v>
      </c>
    </row>
    <row r="33" spans="1:7" x14ac:dyDescent="0.2">
      <c r="A33" s="11" t="s">
        <v>134</v>
      </c>
      <c r="B33" s="17">
        <v>17782</v>
      </c>
      <c r="C33" s="17">
        <v>247</v>
      </c>
      <c r="D33" s="17">
        <v>23061</v>
      </c>
      <c r="E33" s="17">
        <v>23308</v>
      </c>
      <c r="F33" s="17">
        <v>21844</v>
      </c>
      <c r="G33" s="18">
        <f>IF(AND(F65&lt;&gt;0,21844&lt;&gt;0),IF(100*21844/(F65-0)&lt;0.005,"*",100*21844/(F65-0)),0)</f>
        <v>0.43314885575651341</v>
      </c>
    </row>
    <row r="34" spans="1:7" x14ac:dyDescent="0.2">
      <c r="A34" s="11" t="s">
        <v>135</v>
      </c>
      <c r="B34" s="17">
        <v>26245</v>
      </c>
      <c r="C34" s="17">
        <v>364</v>
      </c>
      <c r="D34" s="17">
        <v>34037</v>
      </c>
      <c r="E34" s="17">
        <v>34401</v>
      </c>
      <c r="F34" s="17">
        <v>32240</v>
      </c>
      <c r="G34" s="18">
        <f>IF(AND(F65&lt;&gt;0,32240&lt;&gt;0),IF(100*32240/(F65-0)&lt;0.005,"*",100*32240/(F65-0)),0)</f>
        <v>0.63929312898690682</v>
      </c>
    </row>
    <row r="35" spans="1:7" x14ac:dyDescent="0.2">
      <c r="A35" s="11" t="s">
        <v>136</v>
      </c>
      <c r="B35" s="17">
        <v>9831</v>
      </c>
      <c r="C35" s="17">
        <v>136</v>
      </c>
      <c r="D35" s="17">
        <v>12750</v>
      </c>
      <c r="E35" s="17">
        <v>12886</v>
      </c>
      <c r="F35" s="17">
        <v>12077</v>
      </c>
      <c r="G35" s="18">
        <f>IF(AND(F65&lt;&gt;0,12077&lt;&gt;0),IF(100*12077/(F65-0)&lt;0.005,"*",100*12077/(F65-0)),0)</f>
        <v>0.23947714388259533</v>
      </c>
    </row>
    <row r="36" spans="1:7" x14ac:dyDescent="0.2">
      <c r="A36" s="11" t="s">
        <v>137</v>
      </c>
      <c r="B36" s="17">
        <v>158500</v>
      </c>
      <c r="C36" s="17">
        <v>2201</v>
      </c>
      <c r="D36" s="17">
        <v>205555</v>
      </c>
      <c r="E36" s="17">
        <v>207756</v>
      </c>
      <c r="F36" s="17">
        <v>194704</v>
      </c>
      <c r="G36" s="18">
        <f>IF(AND(F65&lt;&gt;0,194704&lt;&gt;0),IF(100*194704/(F65-0)&lt;0.005,"*",100*194704/(F65-0)),0)</f>
        <v>3.860822871782466</v>
      </c>
    </row>
    <row r="37" spans="1:7" x14ac:dyDescent="0.2">
      <c r="A37" s="11" t="s">
        <v>138</v>
      </c>
      <c r="B37" s="17">
        <v>27746</v>
      </c>
      <c r="C37" s="17">
        <v>385</v>
      </c>
      <c r="D37" s="17">
        <v>35983</v>
      </c>
      <c r="E37" s="17">
        <v>36368</v>
      </c>
      <c r="F37" s="17">
        <v>34084</v>
      </c>
      <c r="G37" s="18">
        <f>IF(AND(F65&lt;&gt;0,34084&lt;&gt;0),IF(100*34084/(F65-0)&lt;0.005,"*",100*34084/(F65-0)),0)</f>
        <v>0.67585815782846559</v>
      </c>
    </row>
    <row r="38" spans="1:7" x14ac:dyDescent="0.2">
      <c r="A38" s="11" t="s">
        <v>139</v>
      </c>
      <c r="B38" s="17">
        <v>360045</v>
      </c>
      <c r="C38" s="17">
        <v>4999</v>
      </c>
      <c r="D38" s="17">
        <v>466934</v>
      </c>
      <c r="E38" s="17">
        <v>471933</v>
      </c>
      <c r="F38" s="17">
        <v>442285</v>
      </c>
      <c r="G38" s="18">
        <f>IF(AND(F65&lt;&gt;0,442285&lt;&gt;0),IF(100*442285/(F65-0)&lt;0.005,"*",100*442285/(F65-0)),0)</f>
        <v>8.7701538943540349</v>
      </c>
    </row>
    <row r="39" spans="1:7" x14ac:dyDescent="0.2">
      <c r="A39" s="11" t="s">
        <v>140</v>
      </c>
      <c r="B39" s="17">
        <v>119611</v>
      </c>
      <c r="C39" s="17">
        <v>1661</v>
      </c>
      <c r="D39" s="17">
        <v>155121</v>
      </c>
      <c r="E39" s="17">
        <v>156782</v>
      </c>
      <c r="F39" s="17">
        <v>146932</v>
      </c>
      <c r="G39" s="18">
        <f>IF(AND(F65&lt;&gt;0,146932&lt;&gt;0),IF(100*146932/(F65-0)&lt;0.005,"*",100*146932/(F65-0)),0)</f>
        <v>2.9135427428134055</v>
      </c>
    </row>
    <row r="40" spans="1:7" x14ac:dyDescent="0.2">
      <c r="A40" s="11" t="s">
        <v>141</v>
      </c>
      <c r="B40" s="17">
        <v>10444</v>
      </c>
      <c r="C40" s="17">
        <v>145</v>
      </c>
      <c r="D40" s="17">
        <v>13545</v>
      </c>
      <c r="E40" s="17">
        <v>13690</v>
      </c>
      <c r="F40" s="17">
        <v>12830</v>
      </c>
      <c r="G40" s="18">
        <f>IF(AND(F65&lt;&gt;0,12830&lt;&gt;0),IF(100*12830/(F65-0)&lt;0.005,"*",100*12830/(F65-0)),0)</f>
        <v>0.25440852496594335</v>
      </c>
    </row>
    <row r="41" spans="1:7" x14ac:dyDescent="0.2">
      <c r="A41" s="11" t="s">
        <v>142</v>
      </c>
      <c r="B41" s="17">
        <v>109270</v>
      </c>
      <c r="C41" s="17">
        <v>1517</v>
      </c>
      <c r="D41" s="17">
        <v>141710</v>
      </c>
      <c r="E41" s="17">
        <v>143227</v>
      </c>
      <c r="F41" s="17">
        <v>134229</v>
      </c>
      <c r="G41" s="18">
        <f>IF(AND(F65&lt;&gt;0,134229&lt;&gt;0),IF(100*134229/(F65-0)&lt;0.005,"*",100*134229/(F65-0)),0)</f>
        <v>2.661652525148372</v>
      </c>
    </row>
    <row r="42" spans="1:7" x14ac:dyDescent="0.2">
      <c r="A42" s="11" t="s">
        <v>143</v>
      </c>
      <c r="B42" s="17">
        <v>49333</v>
      </c>
      <c r="C42" s="17">
        <v>685</v>
      </c>
      <c r="D42" s="17">
        <v>63979</v>
      </c>
      <c r="E42" s="17">
        <v>64664</v>
      </c>
      <c r="F42" s="17">
        <v>60601</v>
      </c>
      <c r="G42" s="18">
        <f>IF(AND(F65&lt;&gt;0,60601&lt;&gt;0),IF(100*60601/(F65-0)&lt;0.005,"*",100*60601/(F65-0)),0)</f>
        <v>1.2016688247436582</v>
      </c>
    </row>
    <row r="43" spans="1:7" x14ac:dyDescent="0.2">
      <c r="A43" s="11" t="s">
        <v>144</v>
      </c>
      <c r="B43" s="17">
        <v>88099</v>
      </c>
      <c r="C43" s="17">
        <v>1223</v>
      </c>
      <c r="D43" s="17">
        <v>114254</v>
      </c>
      <c r="E43" s="17">
        <v>115477</v>
      </c>
      <c r="F43" s="17">
        <v>108222</v>
      </c>
      <c r="G43" s="18">
        <f>IF(AND(F65&lt;&gt;0,108222&lt;&gt;0),IF(100*108222/(F65-0)&lt;0.005,"*",100*108222/(F65-0)),0)</f>
        <v>2.1459547458195107</v>
      </c>
    </row>
    <row r="44" spans="1:7" x14ac:dyDescent="0.2">
      <c r="A44" s="11" t="s">
        <v>145</v>
      </c>
      <c r="B44" s="17">
        <v>193615</v>
      </c>
      <c r="C44" s="17">
        <v>2688</v>
      </c>
      <c r="D44" s="17">
        <v>251095</v>
      </c>
      <c r="E44" s="17">
        <v>253783</v>
      </c>
      <c r="F44" s="17">
        <v>237840</v>
      </c>
      <c r="G44" s="18">
        <f>IF(AND(F65&lt;&gt;0,237840&lt;&gt;0),IF(100*237840/(F65-0)&lt;0.005,"*",100*237840/(F65-0)),0)</f>
        <v>4.7161748696726402</v>
      </c>
    </row>
    <row r="45" spans="1:7" x14ac:dyDescent="0.2">
      <c r="A45" s="11" t="s">
        <v>146</v>
      </c>
      <c r="B45" s="17">
        <v>9789</v>
      </c>
      <c r="C45" s="17">
        <v>136</v>
      </c>
      <c r="D45" s="17">
        <v>12695</v>
      </c>
      <c r="E45" s="17">
        <v>12831</v>
      </c>
      <c r="F45" s="17">
        <v>12025</v>
      </c>
      <c r="G45" s="18">
        <f>IF(AND(F65&lt;&gt;0,12025&lt;&gt;0),IF(100*12025/(F65-0)&lt;0.005,"*",100*12025/(F65-0)),0)</f>
        <v>0.23844602593261643</v>
      </c>
    </row>
    <row r="46" spans="1:7" x14ac:dyDescent="0.2">
      <c r="A46" s="11" t="s">
        <v>147</v>
      </c>
      <c r="B46" s="17">
        <v>28531</v>
      </c>
      <c r="C46" s="17">
        <v>396</v>
      </c>
      <c r="D46" s="17">
        <v>37001</v>
      </c>
      <c r="E46" s="17">
        <v>37397</v>
      </c>
      <c r="F46" s="17">
        <v>35048</v>
      </c>
      <c r="G46" s="18">
        <f>IF(AND(F65&lt;&gt;0,35048&lt;&gt;0),IF(100*35048/(F65-0)&lt;0.005,"*",100*35048/(F65-0)),0)</f>
        <v>0.69497349828576638</v>
      </c>
    </row>
    <row r="47" spans="1:7" x14ac:dyDescent="0.2">
      <c r="A47" s="11" t="s">
        <v>148</v>
      </c>
      <c r="B47" s="17">
        <v>8577</v>
      </c>
      <c r="C47" s="17">
        <v>119</v>
      </c>
      <c r="D47" s="17">
        <v>11123</v>
      </c>
      <c r="E47" s="17">
        <v>11242</v>
      </c>
      <c r="F47" s="17">
        <v>10536</v>
      </c>
      <c r="G47" s="18">
        <f>IF(AND(F65&lt;&gt;0,10536&lt;&gt;0),IF(100*10536/(F65-0)&lt;0.005,"*",100*10536/(F65-0)),0)</f>
        <v>0.20892036001879807</v>
      </c>
    </row>
    <row r="48" spans="1:7" x14ac:dyDescent="0.2">
      <c r="A48" s="11" t="s">
        <v>149</v>
      </c>
      <c r="B48" s="17">
        <v>74242</v>
      </c>
      <c r="C48" s="17">
        <v>1031</v>
      </c>
      <c r="D48" s="17">
        <v>96283</v>
      </c>
      <c r="E48" s="17">
        <v>97314</v>
      </c>
      <c r="F48" s="17">
        <v>91200</v>
      </c>
      <c r="G48" s="18">
        <f>IF(AND(F65&lt;&gt;0,91200&lt;&gt;0),IF(100*91200/(F65-0)&lt;0.005,"*",100*91200/(F65-0)),0)</f>
        <v>1.808422250732193</v>
      </c>
    </row>
    <row r="49" spans="1:7" x14ac:dyDescent="0.2">
      <c r="A49" s="11" t="s">
        <v>150</v>
      </c>
      <c r="B49" s="17">
        <v>196298</v>
      </c>
      <c r="C49" s="17">
        <v>2725</v>
      </c>
      <c r="D49" s="17">
        <v>254574</v>
      </c>
      <c r="E49" s="17">
        <v>257299</v>
      </c>
      <c r="F49" s="17">
        <v>241136</v>
      </c>
      <c r="G49" s="18">
        <f>IF(AND(F65&lt;&gt;0,241136&lt;&gt;0),IF(100*241136/(F65-0)&lt;0.005,"*",100*241136/(F65-0)),0)</f>
        <v>4.7815318843482242</v>
      </c>
    </row>
    <row r="50" spans="1:7" x14ac:dyDescent="0.2">
      <c r="A50" s="11" t="s">
        <v>151</v>
      </c>
      <c r="B50" s="17">
        <v>16358</v>
      </c>
      <c r="C50" s="17">
        <v>227</v>
      </c>
      <c r="D50" s="17">
        <v>21214</v>
      </c>
      <c r="E50" s="17">
        <v>21441</v>
      </c>
      <c r="F50" s="17">
        <v>20094</v>
      </c>
      <c r="G50" s="18">
        <f>IF(AND(F65&lt;&gt;0,20094&lt;&gt;0),IF(100*20094/(F65-0)&lt;0.005,"*",100*20094/(F65-0)),0)</f>
        <v>0.39844777090145489</v>
      </c>
    </row>
    <row r="51" spans="1:7" x14ac:dyDescent="0.2">
      <c r="A51" s="11" t="s">
        <v>152</v>
      </c>
      <c r="B51" s="17">
        <v>8986</v>
      </c>
      <c r="C51" s="17">
        <v>125</v>
      </c>
      <c r="D51" s="17">
        <v>11654</v>
      </c>
      <c r="E51" s="17">
        <v>11779</v>
      </c>
      <c r="F51" s="17">
        <v>11039</v>
      </c>
      <c r="G51" s="18">
        <f>IF(AND(F65&lt;&gt;0,11039&lt;&gt;0),IF(100*11039/(F65-0)&lt;0.005,"*",100*11039/(F65-0)),0)</f>
        <v>0.21889444326570917</v>
      </c>
    </row>
    <row r="52" spans="1:7" x14ac:dyDescent="0.2">
      <c r="A52" s="11" t="s">
        <v>153</v>
      </c>
      <c r="B52" s="17">
        <v>124036</v>
      </c>
      <c r="C52" s="17">
        <v>1722</v>
      </c>
      <c r="D52" s="17">
        <v>160860</v>
      </c>
      <c r="E52" s="17">
        <v>162582</v>
      </c>
      <c r="F52" s="17">
        <v>152368</v>
      </c>
      <c r="G52" s="18">
        <f>IF(AND(F65&lt;&gt;0,152368&lt;&gt;0),IF(100*152368/(F65-0)&lt;0.005,"*",100*152368/(F65-0)),0)</f>
        <v>3.0213342269688899</v>
      </c>
    </row>
    <row r="53" spans="1:7" x14ac:dyDescent="0.2">
      <c r="A53" s="11" t="s">
        <v>154</v>
      </c>
      <c r="B53" s="17">
        <v>110682</v>
      </c>
      <c r="C53" s="17">
        <v>1537</v>
      </c>
      <c r="D53" s="17">
        <v>143541</v>
      </c>
      <c r="E53" s="17">
        <v>145078</v>
      </c>
      <c r="F53" s="17">
        <v>135964</v>
      </c>
      <c r="G53" s="18">
        <f>IF(AND(F65&lt;&gt;0,135964&lt;&gt;0),IF(100*135964/(F65-0)&lt;0.005,"*",100*135964/(F65-0)),0)</f>
        <v>2.6960561721332441</v>
      </c>
    </row>
    <row r="54" spans="1:7" x14ac:dyDescent="0.2">
      <c r="A54" s="11" t="s">
        <v>155</v>
      </c>
      <c r="B54" s="17">
        <v>19809</v>
      </c>
      <c r="C54" s="17">
        <v>275</v>
      </c>
      <c r="D54" s="17">
        <v>25690</v>
      </c>
      <c r="E54" s="17">
        <v>25965</v>
      </c>
      <c r="F54" s="17">
        <v>24334</v>
      </c>
      <c r="G54" s="18">
        <f>IF(AND(F65&lt;&gt;0,24334&lt;&gt;0),IF(100*24334/(F65-0)&lt;0.005,"*",100*24334/(F65-0)),0)</f>
        <v>0.48252354220742522</v>
      </c>
    </row>
    <row r="55" spans="1:7" x14ac:dyDescent="0.2">
      <c r="A55" s="11" t="s">
        <v>156</v>
      </c>
      <c r="B55" s="17">
        <v>70064</v>
      </c>
      <c r="C55" s="17">
        <v>973</v>
      </c>
      <c r="D55" s="17">
        <v>90864</v>
      </c>
      <c r="E55" s="17">
        <v>91837</v>
      </c>
      <c r="F55" s="17">
        <v>86068</v>
      </c>
      <c r="G55" s="18">
        <f>IF(AND(F65&lt;&gt;0,86068&lt;&gt;0),IF(100*86068/(F65-0)&lt;0.005,"*",100*86068/(F65-0)),0)</f>
        <v>1.7066588407458156</v>
      </c>
    </row>
    <row r="56" spans="1:7" x14ac:dyDescent="0.2">
      <c r="A56" s="11" t="s">
        <v>157</v>
      </c>
      <c r="B56" s="17">
        <v>6438</v>
      </c>
      <c r="C56" s="17">
        <v>89</v>
      </c>
      <c r="D56" s="17">
        <v>8349</v>
      </c>
      <c r="E56" s="17">
        <v>8438</v>
      </c>
      <c r="F56" s="17">
        <v>7909</v>
      </c>
      <c r="G56" s="18">
        <f>IF(AND(F65&lt;&gt;0,7909&lt;&gt;0),IF(100*7909/(F65-0)&lt;0.005,"*",100*7909/(F65-0)),0)</f>
        <v>0.15682907435351878</v>
      </c>
    </row>
    <row r="57" spans="1:7" x14ac:dyDescent="0.2">
      <c r="A57" s="11" t="s">
        <v>158</v>
      </c>
      <c r="B57" s="17">
        <v>0</v>
      </c>
      <c r="C57" s="17">
        <v>0</v>
      </c>
      <c r="D57" s="17">
        <v>0</v>
      </c>
      <c r="E57" s="17">
        <v>0</v>
      </c>
      <c r="F57" s="17">
        <v>0</v>
      </c>
      <c r="G57" s="18">
        <f>IF(AND(F65&lt;&gt;0,0&lt;&gt;0),IF(100*0/(F65-0)&lt;0.005,"*",100*0/(F65-0)),0)</f>
        <v>0</v>
      </c>
    </row>
    <row r="58" spans="1:7" x14ac:dyDescent="0.2">
      <c r="A58" s="11" t="s">
        <v>159</v>
      </c>
      <c r="B58" s="17">
        <v>1665</v>
      </c>
      <c r="C58" s="17">
        <v>23</v>
      </c>
      <c r="D58" s="17">
        <v>2159</v>
      </c>
      <c r="E58" s="17">
        <v>2182</v>
      </c>
      <c r="F58" s="17">
        <v>2045</v>
      </c>
      <c r="G58" s="18">
        <f>IF(AND(F65&lt;&gt;0,2045&lt;&gt;0),IF(100*2045/(F65-0)&lt;0.005,"*",100*2045/(F65-0)),0)</f>
        <v>4.0550696302054108E-2</v>
      </c>
    </row>
    <row r="59" spans="1:7" x14ac:dyDescent="0.2">
      <c r="A59" s="11" t="s">
        <v>160</v>
      </c>
      <c r="B59" s="17">
        <v>0</v>
      </c>
      <c r="C59" s="17">
        <v>0</v>
      </c>
      <c r="D59" s="17">
        <v>0</v>
      </c>
      <c r="E59" s="17">
        <v>0</v>
      </c>
      <c r="F59" s="17">
        <v>0</v>
      </c>
      <c r="G59" s="18">
        <f>IF(AND(F65&lt;&gt;0,0&lt;&gt;0),IF(100*0/(F65-0)&lt;0.005,"*",100*0/(F65-0)),0)</f>
        <v>0</v>
      </c>
    </row>
    <row r="60" spans="1:7" x14ac:dyDescent="0.2">
      <c r="A60" s="11" t="s">
        <v>161</v>
      </c>
      <c r="B60" s="17">
        <v>0</v>
      </c>
      <c r="C60" s="17">
        <v>0</v>
      </c>
      <c r="D60" s="17">
        <v>0</v>
      </c>
      <c r="E60" s="17">
        <v>0</v>
      </c>
      <c r="F60" s="17">
        <v>0</v>
      </c>
      <c r="G60" s="18">
        <f>IF(AND(F65&lt;&gt;0,0&lt;&gt;0),IF(100*0/(F65-0)&lt;0.005,"*",100*0/(F65-0)),0)</f>
        <v>0</v>
      </c>
    </row>
    <row r="61" spans="1:7" x14ac:dyDescent="0.2">
      <c r="A61" s="11" t="s">
        <v>162</v>
      </c>
      <c r="B61" s="17">
        <v>0</v>
      </c>
      <c r="C61" s="17">
        <v>0</v>
      </c>
      <c r="D61" s="17">
        <v>0</v>
      </c>
      <c r="E61" s="17">
        <v>0</v>
      </c>
      <c r="F61" s="17">
        <v>0</v>
      </c>
      <c r="G61" s="18">
        <f>IF(AND(F65&lt;&gt;0,0&lt;&gt;0),IF(100*0/(F65-0)&lt;0.005,"*",100*0/(F65-0)),0)</f>
        <v>0</v>
      </c>
    </row>
    <row r="62" spans="1:7" ht="15" x14ac:dyDescent="0.2">
      <c r="A62" s="42" t="s">
        <v>163</v>
      </c>
      <c r="B62" s="43" t="s">
        <v>520</v>
      </c>
      <c r="C62" s="43">
        <v>0</v>
      </c>
      <c r="D62" s="43" t="s">
        <v>521</v>
      </c>
      <c r="E62" s="43" t="s">
        <v>521</v>
      </c>
      <c r="F62" s="43" t="s">
        <v>522</v>
      </c>
      <c r="G62" s="44" t="str">
        <f>IF(AND(F65&lt;&gt;0,39&lt;&gt;0),IF(100*39/(F65-0)&lt;0.005,"*",100*39/(F65-0)),0)</f>
        <v>*</v>
      </c>
    </row>
    <row r="63" spans="1:7" x14ac:dyDescent="0.2">
      <c r="A63" s="11" t="s">
        <v>164</v>
      </c>
      <c r="B63" s="17">
        <v>0</v>
      </c>
      <c r="C63" s="17">
        <v>0</v>
      </c>
      <c r="D63" s="17">
        <v>0</v>
      </c>
      <c r="E63" s="17">
        <v>0</v>
      </c>
      <c r="F63" s="17">
        <v>0</v>
      </c>
      <c r="G63" s="18">
        <f>IF(AND(F65&lt;&gt;0,0&lt;&gt;0),IF(100*0/(F65-0)&lt;0.005,"*",100*0/(F65-0)),0)</f>
        <v>0</v>
      </c>
    </row>
    <row r="64" spans="1:7" x14ac:dyDescent="0.2">
      <c r="A64" s="11" t="s">
        <v>165</v>
      </c>
      <c r="B64" s="17">
        <v>539503</v>
      </c>
      <c r="C64" s="17">
        <v>0</v>
      </c>
      <c r="D64" s="17">
        <v>0</v>
      </c>
      <c r="E64" s="17">
        <v>0</v>
      </c>
      <c r="F64" s="17">
        <v>0</v>
      </c>
      <c r="G64" s="18">
        <v>0</v>
      </c>
    </row>
    <row r="65" spans="1:7" ht="15" customHeight="1" x14ac:dyDescent="0.2">
      <c r="A65" s="19" t="s">
        <v>106</v>
      </c>
      <c r="B65" s="20">
        <f>50031+10336+68860+29783+961583+46988+53206+12757+23137+84647+95631+22336+9254+112759+56902+22216+21775+60743+62912+16006+70425+64954+143834+68524+30526+48582+10605+17782+26245+9831+158500+27746+360045+119611+10444+109270+49333+88099+193615+9789+28531+8577+74242+196298+16358+8986+124036+110682+19809+70064+6438+0+1665+0+0+0+32+0+539503+0</f>
        <v>4644843</v>
      </c>
      <c r="C65" s="20">
        <f>695+143+956+413+13350+652+739+177+321+1175+1328+310+128+1565+790+308+302+843+873+222+978+902+1997+951+424+674+147+247+364+136+2201+385+4999+1661+145+1517+685+1223+2688+136+396+119+1031+2725+227+125+1722+1537+275+973+89+0+23+0+0+0+0+0+0+0</f>
        <v>56992</v>
      </c>
      <c r="D65" s="20">
        <f>64884+13405+89303+38625+1247056+60938+69002+16544+30006+109777+124022+28967+12001+146235+73795+28811+28240+78776+81589+20758+91333+84237+186535+88867+39588+63005+13753+23061+34037+12750+205555+35983+466934+155121+13545+141710+63979+114254+251095+12695+37001+11123+96283+254574+21214+11654+160860+143541+25690+90864+8349+0+2159+0+0+0+42+0+0+0</f>
        <v>5324125</v>
      </c>
      <c r="E65" s="20">
        <f>SUM(C65:D65)</f>
        <v>5381117</v>
      </c>
      <c r="F65" s="20">
        <f>61459+12697+84589+36586+1181224+57721+65359+15671+28422+103982+117475+27438+11368+138515+69899+27290+26749+74618+77282+19662+86511+79791+176688+84176+37499+59679+13027+21844+32240+12077+194704+34084+442285+146932+12830+134229+60601+108222+237840+12025+35048+10536+91200+241136+20094+11039+152368+135964+24334+86068+7909+0+2045+0+0+0+39+0+0+0</f>
        <v>5043070</v>
      </c>
      <c r="G65" s="21" t="s">
        <v>219</v>
      </c>
    </row>
    <row r="66" spans="1:7" ht="15" customHeight="1" x14ac:dyDescent="0.2">
      <c r="A66" s="72" t="s">
        <v>167</v>
      </c>
      <c r="B66" s="72"/>
      <c r="C66" s="72"/>
      <c r="D66" s="72"/>
      <c r="E66" s="72"/>
      <c r="F66" s="72"/>
      <c r="G66" s="72"/>
    </row>
    <row r="67" spans="1:7" ht="15" customHeight="1" x14ac:dyDescent="0.2">
      <c r="A67" s="46" t="s">
        <v>519</v>
      </c>
      <c r="B67" s="45"/>
      <c r="C67" s="45"/>
      <c r="D67" s="45"/>
      <c r="E67" s="45"/>
      <c r="F67" s="45"/>
      <c r="G67" s="45"/>
    </row>
    <row r="68" spans="1:7" ht="15" customHeight="1" x14ac:dyDescent="0.2">
      <c r="A68" s="65" t="s">
        <v>221</v>
      </c>
      <c r="B68" s="65"/>
      <c r="C68" s="65"/>
      <c r="D68" s="65"/>
      <c r="E68" s="65"/>
      <c r="F68" s="65"/>
      <c r="G68" s="65"/>
    </row>
  </sheetData>
  <mergeCells count="6">
    <mergeCell ref="A68:G68"/>
    <mergeCell ref="A4:A5"/>
    <mergeCell ref="B4:B5"/>
    <mergeCell ref="F4:F5"/>
    <mergeCell ref="G4:G5"/>
    <mergeCell ref="A66:G66"/>
  </mergeCells>
  <pageMargins left="0.7" right="0.7"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Overview</vt:lpstr>
      <vt:lpstr>TOC</vt:lpstr>
      <vt:lpstr>Summary of Programs</vt:lpstr>
      <vt:lpstr>State Summary</vt:lpstr>
      <vt:lpstr>Table 14-5</vt:lpstr>
      <vt:lpstr>Table 14-6</vt:lpstr>
      <vt:lpstr>Table 14-7</vt:lpstr>
      <vt:lpstr>Table 14-8</vt:lpstr>
      <vt:lpstr>Table 14-9</vt:lpstr>
      <vt:lpstr>Table 14-10</vt:lpstr>
      <vt:lpstr>Table 14-11</vt:lpstr>
      <vt:lpstr>Table 14-12</vt:lpstr>
      <vt:lpstr>Table 14-13</vt:lpstr>
      <vt:lpstr>Table 14-14</vt:lpstr>
      <vt:lpstr>Table 14-15</vt:lpstr>
      <vt:lpstr>Table 14-16</vt:lpstr>
      <vt:lpstr>Table 14-17</vt:lpstr>
      <vt:lpstr>Table 14-18</vt:lpstr>
      <vt:lpstr>Table 14-19</vt:lpstr>
      <vt:lpstr>Table 14-20</vt:lpstr>
      <vt:lpstr>Table 14-21</vt:lpstr>
      <vt:lpstr>Table 14-22</vt:lpstr>
      <vt:lpstr>Table 14-23</vt:lpstr>
      <vt:lpstr>Table 14-24</vt:lpstr>
      <vt:lpstr>Table 14-25</vt:lpstr>
      <vt:lpstr>Table 14-26</vt:lpstr>
      <vt:lpstr>Table 14-27</vt:lpstr>
      <vt:lpstr>Table 14-28</vt:lpstr>
      <vt:lpstr>Table 14-29</vt:lpstr>
      <vt:lpstr>Table 14-30</vt:lpstr>
      <vt:lpstr>Table 14-31</vt:lpstr>
      <vt:lpstr>Table 14-32</vt:lpstr>
      <vt:lpstr>Table 14-33</vt:lpstr>
      <vt:lpstr>Table 14-34</vt:lpstr>
      <vt:lpstr>Table 14-35</vt:lpstr>
      <vt:lpstr>Table 14-36</vt:lpstr>
      <vt:lpstr>Table 14-37</vt:lpstr>
      <vt:lpstr>Table 14-38</vt:lpstr>
      <vt:lpstr>Table 14-39</vt:lpstr>
    </vt:vector>
  </TitlesOfParts>
  <Company>EOP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OMB</dc:creator>
  <cp:lastModifiedBy>Lauer, Eric</cp:lastModifiedBy>
  <cp:lastPrinted>2018-02-01T19:49:19Z</cp:lastPrinted>
  <dcterms:created xsi:type="dcterms:W3CDTF">2018-02-01T15:05:30Z</dcterms:created>
  <dcterms:modified xsi:type="dcterms:W3CDTF">2018-02-02T20:42:25Z</dcterms:modified>
</cp:coreProperties>
</file>